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app\sgks\User\Лахно Т.С\Раскрытие информации ЭЭ\УГРЦТ сайт\"/>
    </mc:Choice>
  </mc:AlternateContent>
  <xr:revisionPtr revIDLastSave="0" documentId="13_ncr:1_{28B009EC-2F6F-40E9-88F6-08F8AFB51851}" xr6:coauthVersionLast="46" xr6:coauthVersionMax="46" xr10:uidLastSave="{00000000-0000-0000-0000-000000000000}"/>
  <bookViews>
    <workbookView xWindow="-120" yWindow="-120" windowWidth="29040" windowHeight="15840" tabRatio="820" xr2:uid="{00000000-000D-0000-FFFF-FFFF00000000}"/>
  </bookViews>
  <sheets>
    <sheet name="2022" sheetId="42" r:id="rId1"/>
    <sheet name="январь" sheetId="19" r:id="rId2"/>
    <sheet name="февраль" sheetId="31" r:id="rId3"/>
    <sheet name="март" sheetId="32" r:id="rId4"/>
    <sheet name="апрель" sheetId="33" r:id="rId5"/>
    <sheet name="май" sheetId="34" r:id="rId6"/>
    <sheet name="июнь" sheetId="35" r:id="rId7"/>
    <sheet name="июль" sheetId="36" r:id="rId8"/>
    <sheet name="август" sheetId="37" r:id="rId9"/>
    <sheet name="сентябрь" sheetId="38" r:id="rId10"/>
    <sheet name="октябрь" sheetId="39" r:id="rId11"/>
    <sheet name="ноябрь" sheetId="40" r:id="rId12"/>
    <sheet name="декабрь" sheetId="41" r:id="rId13"/>
  </sheets>
  <calcPr calcId="191029"/>
</workbook>
</file>

<file path=xl/calcChain.xml><?xml version="1.0" encoding="utf-8"?>
<calcChain xmlns="http://schemas.openxmlformats.org/spreadsheetml/2006/main">
  <c r="I46" i="41" l="1"/>
  <c r="I29" i="41"/>
  <c r="I50" i="41"/>
  <c r="I48" i="41"/>
  <c r="H48" i="41"/>
  <c r="H46" i="41"/>
  <c r="I44" i="41"/>
  <c r="H44" i="41"/>
  <c r="H52" i="41" s="1"/>
  <c r="I33" i="41"/>
  <c r="I24" i="41"/>
  <c r="H37" i="41"/>
  <c r="H23" i="41"/>
  <c r="H21" i="41"/>
  <c r="I42" i="41"/>
  <c r="I39" i="41"/>
  <c r="H39" i="41"/>
  <c r="I22" i="41"/>
  <c r="I47" i="41"/>
  <c r="I38" i="41"/>
  <c r="H38" i="41"/>
  <c r="I27" i="41"/>
  <c r="I49" i="41"/>
  <c r="I36" i="41"/>
  <c r="H36" i="41"/>
  <c r="I35" i="41"/>
  <c r="I16" i="41"/>
  <c r="H16" i="41"/>
  <c r="I30" i="41"/>
  <c r="H30" i="41"/>
  <c r="I18" i="41"/>
  <c r="I28" i="41"/>
  <c r="I19" i="41"/>
  <c r="H26" i="41"/>
  <c r="I43" i="41"/>
  <c r="I41" i="41"/>
  <c r="I32" i="41"/>
  <c r="H32" i="41"/>
  <c r="I20" i="41"/>
  <c r="H20" i="41"/>
  <c r="I15" i="41"/>
  <c r="I15" i="40"/>
  <c r="I20" i="40"/>
  <c r="H20" i="40"/>
  <c r="I43" i="40"/>
  <c r="I41" i="40"/>
  <c r="I32" i="40"/>
  <c r="H32" i="40"/>
  <c r="H26" i="40"/>
  <c r="I28" i="40"/>
  <c r="I19" i="40"/>
  <c r="I18" i="40"/>
  <c r="I30" i="40"/>
  <c r="H30" i="40"/>
  <c r="I35" i="40"/>
  <c r="I16" i="40"/>
  <c r="H16" i="40"/>
  <c r="I49" i="40"/>
  <c r="I36" i="40"/>
  <c r="H36" i="40"/>
  <c r="I47" i="40"/>
  <c r="I38" i="40"/>
  <c r="H38" i="40"/>
  <c r="I27" i="40"/>
  <c r="I42" i="40"/>
  <c r="I39" i="40"/>
  <c r="H39" i="40"/>
  <c r="I22" i="40"/>
  <c r="I24" i="40"/>
  <c r="I33" i="40"/>
  <c r="H33" i="40"/>
  <c r="I44" i="40"/>
  <c r="H44" i="40"/>
  <c r="I46" i="40"/>
  <c r="H46" i="40"/>
  <c r="I48" i="40"/>
  <c r="H48" i="40"/>
  <c r="I50" i="40"/>
  <c r="H50" i="40"/>
  <c r="I29" i="40"/>
  <c r="I50" i="37"/>
  <c r="I29" i="37"/>
  <c r="I48" i="37"/>
  <c r="I46" i="37"/>
  <c r="H46" i="37"/>
  <c r="I44" i="37"/>
  <c r="H44" i="37"/>
  <c r="I33" i="37"/>
  <c r="H33" i="37"/>
  <c r="H37" i="37"/>
  <c r="H23" i="37"/>
  <c r="H21" i="37"/>
  <c r="I24" i="37"/>
  <c r="I42" i="37"/>
  <c r="I39" i="37"/>
  <c r="H39" i="37"/>
  <c r="I22" i="37"/>
  <c r="I47" i="37"/>
  <c r="I38" i="37"/>
  <c r="H38" i="37"/>
  <c r="I27" i="37"/>
  <c r="I49" i="37"/>
  <c r="I36" i="37"/>
  <c r="H36" i="37"/>
  <c r="I35" i="37"/>
  <c r="I16" i="37"/>
  <c r="H16" i="37"/>
  <c r="I30" i="37"/>
  <c r="H30" i="37"/>
  <c r="I18" i="37"/>
  <c r="I28" i="37"/>
  <c r="I19" i="37"/>
  <c r="H26" i="37"/>
  <c r="I41" i="37"/>
  <c r="I32" i="37"/>
  <c r="H32" i="37"/>
  <c r="I20" i="37"/>
  <c r="H20" i="37"/>
  <c r="I15" i="37"/>
  <c r="I15" i="34"/>
  <c r="I43" i="34"/>
  <c r="I41" i="34"/>
  <c r="I32" i="34"/>
  <c r="H32" i="34"/>
  <c r="I20" i="34"/>
  <c r="H20" i="34"/>
  <c r="I26" i="34"/>
  <c r="H26" i="34"/>
  <c r="I28" i="34"/>
  <c r="I19" i="34"/>
  <c r="H19" i="33"/>
  <c r="G19" i="33"/>
  <c r="H19" i="32"/>
  <c r="G19" i="32"/>
  <c r="H19" i="31"/>
  <c r="G19" i="31"/>
  <c r="H19" i="19"/>
  <c r="G19" i="19"/>
  <c r="G16" i="31"/>
  <c r="G16" i="19"/>
  <c r="I18" i="34"/>
  <c r="H30" i="34"/>
  <c r="I30" i="34"/>
  <c r="I35" i="34"/>
  <c r="H16" i="34"/>
  <c r="I16" i="34"/>
  <c r="I49" i="34"/>
  <c r="I36" i="34"/>
  <c r="H36" i="34"/>
  <c r="I47" i="34"/>
  <c r="H38" i="34"/>
  <c r="I38" i="34"/>
  <c r="I27" i="34"/>
  <c r="I42" i="34"/>
  <c r="H39" i="34"/>
  <c r="I39" i="34"/>
  <c r="I22" i="34"/>
  <c r="I37" i="34"/>
  <c r="I23" i="34"/>
  <c r="I21" i="34"/>
  <c r="I24" i="34"/>
  <c r="H33" i="34"/>
  <c r="I33" i="34"/>
  <c r="I44" i="34"/>
  <c r="H44" i="34"/>
  <c r="I46" i="34"/>
  <c r="H46" i="34"/>
  <c r="I48" i="34"/>
  <c r="H48" i="34"/>
  <c r="I50" i="34"/>
  <c r="I29" i="34"/>
  <c r="I15" i="33"/>
  <c r="I43" i="33"/>
  <c r="I41" i="33"/>
  <c r="I32" i="33"/>
  <c r="H32" i="33"/>
  <c r="H20" i="33"/>
  <c r="I20" i="33"/>
  <c r="I26" i="33"/>
  <c r="H26" i="33"/>
  <c r="I28" i="33"/>
  <c r="I18" i="33"/>
  <c r="I30" i="33"/>
  <c r="H30" i="33"/>
  <c r="I35" i="33"/>
  <c r="H16" i="33"/>
  <c r="I16" i="33"/>
  <c r="I49" i="33"/>
  <c r="H36" i="33"/>
  <c r="I36" i="33"/>
  <c r="I47" i="33"/>
  <c r="H38" i="33"/>
  <c r="I38" i="33"/>
  <c r="I27" i="33"/>
  <c r="I42" i="33"/>
  <c r="H39" i="33"/>
  <c r="I39" i="33"/>
  <c r="I22" i="33"/>
  <c r="I37" i="33"/>
  <c r="I23" i="33"/>
  <c r="I21" i="33"/>
  <c r="I24" i="33"/>
  <c r="I33" i="33"/>
  <c r="H33" i="33"/>
  <c r="H44" i="33"/>
  <c r="I44" i="33"/>
  <c r="I46" i="33"/>
  <c r="H46" i="33"/>
  <c r="H48" i="33"/>
  <c r="I48" i="33"/>
  <c r="I50" i="33"/>
  <c r="I29" i="33"/>
  <c r="I15" i="32"/>
  <c r="H20" i="32"/>
  <c r="I20" i="32"/>
  <c r="H32" i="32"/>
  <c r="I32" i="32"/>
  <c r="I41" i="32"/>
  <c r="I43" i="32"/>
  <c r="H26" i="32"/>
  <c r="I28" i="32"/>
  <c r="I18" i="32"/>
  <c r="H30" i="32"/>
  <c r="I30" i="32"/>
  <c r="I35" i="32"/>
  <c r="H16" i="32"/>
  <c r="I16" i="32"/>
  <c r="I49" i="32"/>
  <c r="H36" i="32"/>
  <c r="I36" i="32"/>
  <c r="I47" i="32"/>
  <c r="H38" i="32"/>
  <c r="I38" i="32"/>
  <c r="I27" i="32"/>
  <c r="I42" i="32"/>
  <c r="H39" i="32"/>
  <c r="I39" i="32"/>
  <c r="I22" i="32"/>
  <c r="I24" i="32"/>
  <c r="H33" i="32"/>
  <c r="I33" i="32"/>
  <c r="I31" i="32"/>
  <c r="H44" i="32"/>
  <c r="I44" i="32"/>
  <c r="I46" i="32"/>
  <c r="H46" i="32"/>
  <c r="H48" i="32"/>
  <c r="I48" i="32"/>
  <c r="I29" i="32"/>
  <c r="I50" i="32"/>
  <c r="I15" i="31"/>
  <c r="I29" i="31"/>
  <c r="I50" i="31"/>
  <c r="H48" i="31"/>
  <c r="I48" i="31"/>
  <c r="H46" i="31"/>
  <c r="I46" i="31"/>
  <c r="H44" i="31"/>
  <c r="I44" i="31"/>
  <c r="H33" i="31"/>
  <c r="I33" i="31"/>
  <c r="I31" i="31"/>
  <c r="I24" i="31"/>
  <c r="I42" i="31"/>
  <c r="H39" i="31"/>
  <c r="I39" i="31"/>
  <c r="I22" i="31"/>
  <c r="I47" i="31"/>
  <c r="H38" i="31"/>
  <c r="I38" i="31"/>
  <c r="I27" i="31"/>
  <c r="I49" i="31"/>
  <c r="H36" i="31"/>
  <c r="I36" i="31"/>
  <c r="I35" i="31"/>
  <c r="I16" i="31"/>
  <c r="H16" i="31"/>
  <c r="I30" i="31"/>
  <c r="H30" i="31"/>
  <c r="I18" i="31"/>
  <c r="I28" i="31"/>
  <c r="H26" i="31"/>
  <c r="I26" i="31"/>
  <c r="I43" i="31"/>
  <c r="I41" i="31"/>
  <c r="I32" i="31"/>
  <c r="H32" i="31"/>
  <c r="H20" i="31"/>
  <c r="I20" i="31"/>
  <c r="H36" i="19"/>
  <c r="I15" i="19"/>
  <c r="I43" i="19"/>
  <c r="I41" i="19"/>
  <c r="I32" i="19"/>
  <c r="H32" i="19"/>
  <c r="H20" i="19"/>
  <c r="I20" i="19"/>
  <c r="H26" i="19"/>
  <c r="I28" i="19"/>
  <c r="I18" i="19"/>
  <c r="H30" i="19"/>
  <c r="I30" i="19"/>
  <c r="I35" i="19"/>
  <c r="H16" i="19"/>
  <c r="I16" i="19"/>
  <c r="I49" i="19"/>
  <c r="I36" i="19"/>
  <c r="I47" i="19"/>
  <c r="I38" i="19"/>
  <c r="H38" i="19"/>
  <c r="I27" i="19"/>
  <c r="I42" i="19"/>
  <c r="I39" i="19"/>
  <c r="H39" i="19"/>
  <c r="I22" i="19"/>
  <c r="I24" i="19"/>
  <c r="I33" i="19"/>
  <c r="I31" i="19"/>
  <c r="H44" i="19"/>
  <c r="I44" i="19"/>
  <c r="I46" i="19"/>
  <c r="H46" i="19"/>
  <c r="H48" i="19"/>
  <c r="I48" i="19"/>
  <c r="I50" i="19"/>
  <c r="I29" i="19"/>
  <c r="G16" i="42"/>
  <c r="H16" i="42"/>
  <c r="I16" i="42"/>
  <c r="G17" i="42"/>
  <c r="H17" i="42"/>
  <c r="I17" i="42"/>
  <c r="G18" i="42"/>
  <c r="H18" i="42"/>
  <c r="I18" i="42"/>
  <c r="G19" i="42"/>
  <c r="H19" i="42"/>
  <c r="I19" i="42"/>
  <c r="G20" i="42"/>
  <c r="H20" i="42"/>
  <c r="I20" i="42"/>
  <c r="G21" i="42"/>
  <c r="H21" i="42"/>
  <c r="I21" i="42"/>
  <c r="G22" i="42"/>
  <c r="H22" i="42"/>
  <c r="I22" i="42"/>
  <c r="G23" i="42"/>
  <c r="H23" i="42"/>
  <c r="I23" i="42"/>
  <c r="G24" i="42"/>
  <c r="H24" i="42"/>
  <c r="I24" i="42"/>
  <c r="G25" i="42"/>
  <c r="H25" i="42"/>
  <c r="I25" i="42"/>
  <c r="G26" i="42"/>
  <c r="H26" i="42"/>
  <c r="I26" i="42"/>
  <c r="G27" i="42"/>
  <c r="H27" i="42"/>
  <c r="I27" i="42"/>
  <c r="G28" i="42"/>
  <c r="H28" i="42"/>
  <c r="I28" i="42"/>
  <c r="G29" i="42"/>
  <c r="H29" i="42"/>
  <c r="I29" i="42"/>
  <c r="G30" i="42"/>
  <c r="H30" i="42"/>
  <c r="I30" i="42"/>
  <c r="G31" i="42"/>
  <c r="H31" i="42"/>
  <c r="I31" i="42"/>
  <c r="G32" i="42"/>
  <c r="H32" i="42"/>
  <c r="I32" i="42"/>
  <c r="G33" i="42"/>
  <c r="H33" i="42"/>
  <c r="I33" i="42"/>
  <c r="G34" i="42"/>
  <c r="H34" i="42"/>
  <c r="I34" i="42"/>
  <c r="G35" i="42"/>
  <c r="H35" i="42"/>
  <c r="I35" i="42"/>
  <c r="G36" i="42"/>
  <c r="H36" i="42"/>
  <c r="I36" i="42"/>
  <c r="G37" i="42"/>
  <c r="H37" i="42"/>
  <c r="I37" i="42"/>
  <c r="G38" i="42"/>
  <c r="H38" i="42"/>
  <c r="I38" i="42"/>
  <c r="G39" i="42"/>
  <c r="H39" i="42"/>
  <c r="I39" i="42"/>
  <c r="G40" i="42"/>
  <c r="H40" i="42"/>
  <c r="I40" i="42"/>
  <c r="G41" i="42"/>
  <c r="H41" i="42"/>
  <c r="I41" i="42"/>
  <c r="G42" i="42"/>
  <c r="H42" i="42"/>
  <c r="I42" i="42"/>
  <c r="G43" i="42"/>
  <c r="H43" i="42"/>
  <c r="I43" i="42"/>
  <c r="G44" i="42"/>
  <c r="I44" i="42"/>
  <c r="G45" i="42"/>
  <c r="H45" i="42"/>
  <c r="I45" i="42"/>
  <c r="G46" i="42"/>
  <c r="H46" i="42"/>
  <c r="I46" i="42"/>
  <c r="G47" i="42"/>
  <c r="H47" i="42"/>
  <c r="I47" i="42"/>
  <c r="G48" i="42"/>
  <c r="H48" i="42"/>
  <c r="I48" i="42"/>
  <c r="G49" i="42"/>
  <c r="H49" i="42"/>
  <c r="I49" i="42"/>
  <c r="G50" i="42"/>
  <c r="H50" i="42"/>
  <c r="I50" i="42"/>
  <c r="G51" i="42"/>
  <c r="H51" i="42"/>
  <c r="I51" i="42"/>
  <c r="H15" i="42"/>
  <c r="I15" i="42"/>
  <c r="G15" i="42"/>
  <c r="G52" i="41"/>
  <c r="I52" i="40"/>
  <c r="H52" i="40"/>
  <c r="G52" i="40"/>
  <c r="I52" i="39"/>
  <c r="H52" i="39"/>
  <c r="G52" i="39"/>
  <c r="I52" i="38"/>
  <c r="H52" i="38"/>
  <c r="G52" i="38"/>
  <c r="I52" i="37"/>
  <c r="H52" i="37"/>
  <c r="G52" i="37"/>
  <c r="I52" i="36"/>
  <c r="H52" i="36"/>
  <c r="G52" i="36"/>
  <c r="I52" i="35"/>
  <c r="H52" i="35"/>
  <c r="G52" i="35"/>
  <c r="I52" i="34"/>
  <c r="G52" i="34"/>
  <c r="H52" i="34"/>
  <c r="I52" i="33"/>
  <c r="G52" i="33"/>
  <c r="I52" i="32"/>
  <c r="G52" i="32"/>
  <c r="H52" i="32"/>
  <c r="H52" i="31"/>
  <c r="I52" i="31"/>
  <c r="G52" i="31"/>
  <c r="H52" i="33"/>
  <c r="H52" i="19"/>
  <c r="I52" i="19"/>
  <c r="G52" i="19"/>
  <c r="H44" i="42" l="1"/>
  <c r="H52" i="42" s="1"/>
  <c r="I52" i="41"/>
  <c r="I52" i="42"/>
  <c r="G52" i="42"/>
</calcChain>
</file>

<file path=xl/sharedStrings.xml><?xml version="1.0" encoding="utf-8"?>
<sst xmlns="http://schemas.openxmlformats.org/spreadsheetml/2006/main" count="1274" uniqueCount="71">
  <si>
    <t>№ п/п</t>
  </si>
  <si>
    <t>Наименование населенного пункта</t>
  </si>
  <si>
    <t>Ед. изм.</t>
  </si>
  <si>
    <t>от 21.01.2004 № 24</t>
  </si>
  <si>
    <t>Итого</t>
  </si>
  <si>
    <t>Отпущено электроэнергии за декабрь</t>
  </si>
  <si>
    <t>Отпущено электроэнергии за апрель</t>
  </si>
  <si>
    <t>Отпущено электроэнергии за март</t>
  </si>
  <si>
    <t>Отпущено электроэнергии за май</t>
  </si>
  <si>
    <t>Отпущено электроэнергии за август</t>
  </si>
  <si>
    <t>Отпущено электроэнергии за октябрь</t>
  </si>
  <si>
    <t>Отпущено электроэнергии за ноябрь</t>
  </si>
  <si>
    <t>Отпущено электроэнергии за январь</t>
  </si>
  <si>
    <t>Отпущено электроэнергии за февраль</t>
  </si>
  <si>
    <t>п. Индига</t>
  </si>
  <si>
    <t>п. Бугрино</t>
  </si>
  <si>
    <t>с. Великовисочное</t>
  </si>
  <si>
    <t>с. Коткино</t>
  </si>
  <si>
    <t>п. Каратайка</t>
  </si>
  <si>
    <t>с. Оксино</t>
  </si>
  <si>
    <t>п. Нельмин-Нос</t>
  </si>
  <si>
    <t>п. Хорей-Вер</t>
  </si>
  <si>
    <t>с. Несь</t>
  </si>
  <si>
    <t>п. Шойна</t>
  </si>
  <si>
    <t>с. Ома</t>
  </si>
  <si>
    <t>п. Амдерма</t>
  </si>
  <si>
    <t>Стандартов раскрытия информации</t>
  </si>
  <si>
    <t>субъектами оптового и розничного</t>
  </si>
  <si>
    <t>рынков электрической энергии,</t>
  </si>
  <si>
    <t>утвержденных Постановлением</t>
  </si>
  <si>
    <t>Правительства РФ</t>
  </si>
  <si>
    <t>Форма раскрытия информации гарантирующими поставщиками, энергоснабжающими и энергосбытовыми организациями о фактическом полезном отпуске электрической энергии (мощности) потребителям по тарифным группам и уровням напряжения</t>
  </si>
  <si>
    <t>ВН</t>
  </si>
  <si>
    <t>СН1</t>
  </si>
  <si>
    <t>СН2</t>
  </si>
  <si>
    <t>НН</t>
  </si>
  <si>
    <t>По тарифу для населения</t>
  </si>
  <si>
    <t>По тарифу для 
МСП, СПК</t>
  </si>
  <si>
    <t>По тарифу для прочих
 потребителей</t>
  </si>
  <si>
    <t>Приложение к пункту 45 "г", 50 "б"</t>
  </si>
  <si>
    <t>кВтч.</t>
  </si>
  <si>
    <t>д. Лабожское</t>
  </si>
  <si>
    <t>д. Пылемец</t>
  </si>
  <si>
    <t>д. Тошвиска</t>
  </si>
  <si>
    <t>д. Щелино</t>
  </si>
  <si>
    <t>п. Выучейский</t>
  </si>
  <si>
    <t>п. Варнек</t>
  </si>
  <si>
    <t>д. Андег</t>
  </si>
  <si>
    <t>д. Осколково</t>
  </si>
  <si>
    <t>д. Мгла</t>
  </si>
  <si>
    <t>д. Чижа</t>
  </si>
  <si>
    <t>д. Каменка</t>
  </si>
  <si>
    <t>п. Хонгурей</t>
  </si>
  <si>
    <t>д. Вижас</t>
  </si>
  <si>
    <t>д. Снопа</t>
  </si>
  <si>
    <t>с. Нижняя Пеша</t>
  </si>
  <si>
    <t>д. Верхняя Пеша</t>
  </si>
  <si>
    <t>д. Волоковая</t>
  </si>
  <si>
    <t>д. Белушье</t>
  </si>
  <si>
    <t>д. Волонга</t>
  </si>
  <si>
    <t>д. Кия</t>
  </si>
  <si>
    <t>д. Куя</t>
  </si>
  <si>
    <t>д. Макарово</t>
  </si>
  <si>
    <t>п. Усть-Кара</t>
  </si>
  <si>
    <t>д. Устье</t>
  </si>
  <si>
    <t>п. Харута</t>
  </si>
  <si>
    <t>х</t>
  </si>
  <si>
    <t>Отпущено электроэнергии за июнь</t>
  </si>
  <si>
    <t>Отпущено электроэнергии за июль</t>
  </si>
  <si>
    <t>Отпущено электроэнергии за сентябрь</t>
  </si>
  <si>
    <t>Отпущено электроэнергии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</si>
</sst>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2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1" fontId="1" fillId="0" borderId="0" xfId="0" applyNumberFormat="1" applyFont="1"/>
    <xf numFmtId="3" fontId="1" fillId="0" borderId="0" xfId="0" applyNumberFormat="1" applyFo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" fontId="3" fillId="0" borderId="0" xfId="0" applyNumberFormat="1" applyFont="1"/>
    <xf numFmtId="0" fontId="4" fillId="0" borderId="0" xfId="0" applyFont="1"/>
    <xf numFmtId="3" fontId="2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topLeftCell="A15" zoomScale="90" zoomScaleNormal="90" workbookViewId="0">
      <selection activeCell="H52" sqref="H52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8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H6" s="15" t="s">
        <v>30</v>
      </c>
      <c r="I6" s="15"/>
    </row>
    <row r="7" spans="1:13" x14ac:dyDescent="0.2"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14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4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70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3" t="s">
        <v>32</v>
      </c>
      <c r="E13" s="3" t="s">
        <v>33</v>
      </c>
      <c r="F13" s="3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f>январь!G15+февраль!G15+март!G15+апрель!G15+май!G15+июнь!G15+июль!G15+август!G15+сентябрь!G15+октябрь!G15+ноябрь!G15+декабрь!G15</f>
        <v>323980</v>
      </c>
      <c r="H15" s="6">
        <f>январь!H15+февраль!H15+март!H15+апрель!H15+май!H15+июнь!H15+июль!H15+август!H15+сентябрь!H15+октябрь!H15+ноябрь!H15+декабрь!H15</f>
        <v>33470</v>
      </c>
      <c r="I15" s="6">
        <f>январь!I15+февраль!I15+март!I15+апрель!I15+май!I15+июнь!I15+июль!I15+август!I15+сентябрь!I15+октябрь!I15+ноябрь!I15+декабрь!I15</f>
        <v>482599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f>январь!G16+февраль!G16+март!G16+апрель!G16+май!G16+июнь!G16+июль!G16+август!G16+сентябрь!G16+октябрь!G16+ноябрь!G16+декабрь!G16</f>
        <v>231737</v>
      </c>
      <c r="H16" s="6">
        <f>январь!H16+февраль!H16+март!H16+апрель!H16+май!H16+июнь!H16+июль!H16+август!H16+сентябрь!H16+октябрь!H16+ноябрь!H16+декабрь!H16</f>
        <v>30518</v>
      </c>
      <c r="I16" s="6">
        <f>январь!I16+февраль!I16+март!I16+апрель!I16+май!I16+июнь!I16+июль!I16+август!I16+сентябрь!I16+октябрь!I16+ноябрь!I16+декабрь!I16</f>
        <v>97136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f>январь!G17+февраль!G17+март!G17+апрель!G17+май!G17+июнь!G17+июль!G17+август!G17+сентябрь!G17+октябрь!G17+ноябрь!G17+декабрь!G17</f>
        <v>26574</v>
      </c>
      <c r="H17" s="6">
        <f>январь!H17+февраль!H17+март!H17+апрель!H17+май!H17+июнь!H17+июль!H17+август!H17+сентябрь!H17+октябрь!H17+ноябрь!H17+декабрь!H17</f>
        <v>0</v>
      </c>
      <c r="I17" s="6">
        <f>январь!I17+февраль!I17+март!I17+апрель!I17+май!I17+июнь!I17+июль!I17+август!I17+сентябрь!I17+октябрь!I17+ноябрь!I17+декабрь!I17</f>
        <v>7236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f>январь!G18+февраль!G18+март!G18+апрель!G18+май!G18+июнь!G18+июль!G18+август!G18+сентябрь!G18+октябрь!G18+ноябрь!G18+декабрь!G18</f>
        <v>637906</v>
      </c>
      <c r="H18" s="6">
        <f>январь!H18+февраль!H18+март!H18+апрель!H18+май!H18+июнь!H18+июль!H18+август!H18+сентябрь!H18+октябрь!H18+ноябрь!H18+декабрь!H18</f>
        <v>33981</v>
      </c>
      <c r="I18" s="6">
        <f>январь!I18+февраль!I18+март!I18+апрель!I18+май!I18+июнь!I18+июль!I18+август!I18+сентябрь!I18+октябрь!I18+ноябрь!I18+декабрь!I18</f>
        <v>72425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f>январь!G19+февраль!G19+март!G19+апрель!G19+май!G19+июнь!G19+июль!G19+август!G19+сентябрь!G19+октябрь!G19+ноябрь!G19+декабрь!G19</f>
        <v>94582</v>
      </c>
      <c r="H19" s="6">
        <f>январь!H19+февраль!H19+март!H19+апрель!H19+май!H19+июнь!H19+июль!H19+август!H19+сентябрь!H19+октябрь!H19+ноябрь!H19+декабрь!H19</f>
        <v>4982</v>
      </c>
      <c r="I19" s="6">
        <f>январь!I19+февраль!I19+март!I19+апрель!I19+май!I19+июнь!I19+июль!I19+август!I19+сентябрь!I19+октябрь!I19+ноябрь!I19+декабрь!I19</f>
        <v>34179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f>январь!G20+февраль!G20+март!G20+апрель!G20+май!G20+июнь!G20+июль!G20+август!G20+сентябрь!G20+октябрь!G20+ноябрь!G20+декабрь!G20</f>
        <v>565542</v>
      </c>
      <c r="H20" s="6">
        <f>январь!H20+февраль!H20+март!H20+апрель!H20+май!H20+июнь!H20+июль!H20+август!H20+сентябрь!H20+октябрь!H20+ноябрь!H20+декабрь!H20</f>
        <v>315015</v>
      </c>
      <c r="I20" s="6">
        <f>январь!I20+февраль!I20+март!I20+апрель!I20+май!I20+июнь!I20+июль!I20+август!I20+сентябрь!I20+октябрь!I20+ноябрь!I20+декабрь!I20</f>
        <v>279812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f>январь!G21+февраль!G21+март!G21+апрель!G21+май!G21+июнь!G21+июль!G21+август!G21+сентябрь!G21+октябрь!G21+ноябрь!G21+декабрь!G21</f>
        <v>136682</v>
      </c>
      <c r="H21" s="6">
        <f>январь!H21+февраль!H21+март!H21+апрель!H21+май!H21+июнь!H21+июль!H21+август!H21+сентябрь!H21+октябрь!H21+ноябрь!H21+декабрь!H21</f>
        <v>98973</v>
      </c>
      <c r="I21" s="6">
        <f>январь!I21+февраль!I21+март!I21+апрель!I21+май!I21+июнь!I21+июль!I21+август!I21+сентябрь!I21+октябрь!I21+ноябрь!I21+декабрь!I21</f>
        <v>59283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f>январь!G22+февраль!G22+март!G22+апрель!G22+май!G22+июнь!G22+июль!G22+август!G22+сентябрь!G22+октябрь!G22+ноябрь!G22+декабрь!G22</f>
        <v>72697</v>
      </c>
      <c r="H22" s="6">
        <f>январь!H22+февраль!H22+март!H22+апрель!H22+май!H22+июнь!H22+июль!H22+август!H22+сентябрь!H22+октябрь!H22+ноябрь!H22+декабрь!H22</f>
        <v>21701</v>
      </c>
      <c r="I22" s="6">
        <f>январь!I22+февраль!I22+март!I22+апрель!I22+май!I22+июнь!I22+июль!I22+август!I22+сентябрь!I22+октябрь!I22+ноябрь!I22+декабрь!I22</f>
        <v>35279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f>январь!G23+февраль!G23+март!G23+апрель!G23+май!G23+июнь!G23+июль!G23+август!G23+сентябрь!G23+октябрь!G23+ноябрь!G23+декабрь!G23</f>
        <v>76109</v>
      </c>
      <c r="H23" s="6">
        <f>январь!H23+февраль!H23+март!H23+апрель!H23+май!H23+июнь!H23+июль!H23+август!H23+сентябрь!H23+октябрь!H23+ноябрь!H23+декабрь!H23</f>
        <v>5703</v>
      </c>
      <c r="I23" s="6">
        <f>январь!I23+февраль!I23+март!I23+апрель!I23+май!I23+июнь!I23+июль!I23+август!I23+сентябрь!I23+октябрь!I23+ноябрь!I23+декабрь!I23</f>
        <v>45264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f>январь!G24+февраль!G24+март!G24+апрель!G24+май!G24+июнь!G24+июль!G24+август!G24+сентябрь!G24+октябрь!G24+ноябрь!G24+декабрь!G24</f>
        <v>31768</v>
      </c>
      <c r="H24" s="6">
        <f>январь!H24+февраль!H24+март!H24+апрель!H24+май!H24+июнь!H24+июль!H24+август!H24+сентябрь!H24+октябрь!H24+ноябрь!H24+декабрь!H24</f>
        <v>9439</v>
      </c>
      <c r="I24" s="6">
        <f>январь!I24+февраль!I24+март!I24+апрель!I24+май!I24+июнь!I24+июль!I24+август!I24+сентябрь!I24+октябрь!I24+ноябрь!I24+декабрь!I24</f>
        <v>16685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f>январь!G25+февраль!G25+март!G25+апрель!G25+май!G25+июнь!G25+июль!G25+август!G25+сентябрь!G25+октябрь!G25+ноябрь!G25+декабрь!G25</f>
        <v>138073</v>
      </c>
      <c r="H25" s="6">
        <f>январь!H25+февраль!H25+март!H25+апрель!H25+май!H25+июнь!H25+июль!H25+август!H25+сентябрь!H25+октябрь!H25+ноябрь!H25+декабрь!H25</f>
        <v>0</v>
      </c>
      <c r="I25" s="6">
        <f>январь!I25+февраль!I25+март!I25+апрель!I25+май!I25+июнь!I25+июль!I25+август!I25+сентябрь!I25+октябрь!I25+ноябрь!I25+декабрь!I25</f>
        <v>53249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f>январь!G26+февраль!G26+март!G26+апрель!G26+май!G26+июнь!G26+июль!G26+август!G26+сентябрь!G26+октябрь!G26+ноябрь!G26+декабрь!G26</f>
        <v>775623</v>
      </c>
      <c r="H26" s="6">
        <f>январь!H26+февраль!H26+март!H26+апрель!H26+май!H26+июнь!H26+июль!H26+август!H26+сентябрь!H26+октябрь!H26+ноябрь!H26+декабрь!H26</f>
        <v>148391</v>
      </c>
      <c r="I26" s="6">
        <f>январь!I26+февраль!I26+март!I26+апрель!I26+май!I26+июнь!I26+июль!I26+август!I26+сентябрь!I26+октябрь!I26+ноябрь!I26+декабрь!I26</f>
        <v>214790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f>январь!G27+февраль!G27+март!G27+апрель!G27+май!G27+июнь!G27+июль!G27+август!G27+сентябрь!G27+октябрь!G27+ноябрь!G27+декабрь!G27</f>
        <v>117214</v>
      </c>
      <c r="H27" s="6">
        <f>январь!H27+февраль!H27+март!H27+апрель!H27+май!H27+июнь!H27+июль!H27+август!H27+сентябрь!H27+октябрь!H27+ноябрь!H27+декабрь!H27</f>
        <v>17171</v>
      </c>
      <c r="I27" s="6">
        <f>январь!I27+февраль!I27+март!I27+апрель!I27+май!I27+июнь!I27+июль!I27+август!I27+сентябрь!I27+октябрь!I27+ноябрь!I27+декабрь!I27</f>
        <v>43047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f>январь!G28+февраль!G28+март!G28+апрель!G28+май!G28+июнь!G28+июль!G28+август!G28+сентябрь!G28+октябрь!G28+ноябрь!G28+декабрь!G28</f>
        <v>670402</v>
      </c>
      <c r="H28" s="6">
        <f>январь!H28+февраль!H28+март!H28+апрель!H28+май!H28+июнь!H28+июль!H28+август!H28+сентябрь!H28+октябрь!H28+ноябрь!H28+декабрь!H28</f>
        <v>50421</v>
      </c>
      <c r="I28" s="6">
        <f>январь!I28+февраль!I28+март!I28+апрель!I28+май!I28+июнь!I28+июль!I28+август!I28+сентябрь!I28+октябрь!I28+ноябрь!I28+декабрь!I28</f>
        <v>175285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f>январь!G29+февраль!G29+март!G29+апрель!G29+май!G29+июнь!G29+июль!G29+август!G29+сентябрь!G29+октябрь!G29+ноябрь!G29+декабрь!G29</f>
        <v>58416</v>
      </c>
      <c r="H29" s="6">
        <f>январь!H29+февраль!H29+март!H29+апрель!H29+май!H29+июнь!H29+июль!H29+август!H29+сентябрь!H29+октябрь!H29+ноябрь!H29+декабрь!H29</f>
        <v>1734</v>
      </c>
      <c r="I29" s="6">
        <f>январь!I29+февраль!I29+март!I29+апрель!I29+май!I29+июнь!I29+июль!I29+август!I29+сентябрь!I29+октябрь!I29+ноябрь!I29+декабрь!I29</f>
        <v>12912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f>январь!G30+февраль!G30+март!G30+апрель!G30+май!G30+июнь!G30+июль!G30+август!G30+сентябрь!G30+октябрь!G30+ноябрь!G30+декабрь!G30</f>
        <v>701263</v>
      </c>
      <c r="H30" s="6">
        <f>январь!H30+февраль!H30+март!H30+апрель!H30+май!H30+июнь!H30+июль!H30+август!H30+сентябрь!H30+октябрь!H30+ноябрь!H30+декабрь!H30</f>
        <v>542620</v>
      </c>
      <c r="I30" s="6">
        <f>январь!I30+февраль!I30+март!I30+апрель!I30+май!I30+июнь!I30+июль!I30+август!I30+сентябрь!I30+октябрь!I30+ноябрь!I30+декабрь!I30</f>
        <v>138299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f>январь!G31+февраль!G31+март!G31+апрель!G31+май!G31+июнь!G31+июль!G31+август!G31+сентябрь!G31+октябрь!G31+ноябрь!G31+декабрь!G31</f>
        <v>123198</v>
      </c>
      <c r="H31" s="6">
        <f>январь!H31+февраль!H31+март!H31+апрель!H31+май!H31+июнь!H31+июль!H31+август!H31+сентябрь!H31+октябрь!H31+ноябрь!H31+декабрь!H31</f>
        <v>523</v>
      </c>
      <c r="I31" s="6">
        <f>январь!I31+февраль!I31+март!I31+апрель!I31+май!I31+июнь!I31+июль!I31+август!I31+сентябрь!I31+октябрь!I31+ноябрь!I31+декабрь!I31</f>
        <v>11631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f>январь!G32+февраль!G32+март!G32+апрель!G32+май!G32+июнь!G32+июль!G32+август!G32+сентябрь!G32+октябрь!G32+ноябрь!G32+декабрь!G32</f>
        <v>320686</v>
      </c>
      <c r="H32" s="6">
        <f>январь!H32+февраль!H32+март!H32+апрель!H32+май!H32+июнь!H32+июль!H32+август!H32+сентябрь!H32+октябрь!H32+ноябрь!H32+декабрь!H32</f>
        <v>257242</v>
      </c>
      <c r="I32" s="6">
        <f>январь!I32+февраль!I32+март!I32+апрель!I32+май!I32+июнь!I32+июль!I32+август!I32+сентябрь!I32+октябрь!I32+ноябрь!I32+декабрь!I32</f>
        <v>84678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f>январь!G33+февраль!G33+март!G33+апрель!G33+май!G33+июнь!G33+июль!G33+август!G33+сентябрь!G33+октябрь!G33+ноябрь!G33+декабрь!G33</f>
        <v>125841</v>
      </c>
      <c r="H33" s="6">
        <f>январь!H33+февраль!H33+март!H33+апрель!H33+май!H33+июнь!H33+июль!H33+август!H33+сентябрь!H33+октябрь!H33+ноябрь!H33+декабрь!H33</f>
        <v>4778</v>
      </c>
      <c r="I33" s="6">
        <f>январь!I33+февраль!I33+март!I33+апрель!I33+май!I33+июнь!I33+июль!I33+август!I33+сентябрь!I33+октябрь!I33+ноябрь!I33+декабрь!I33</f>
        <v>37260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f>январь!G34+февраль!G34+март!G34+апрель!G34+май!G34+июнь!G34+июль!G34+август!G34+сентябрь!G34+октябрь!G34+ноябрь!G34+декабрь!G34</f>
        <v>10404</v>
      </c>
      <c r="H34" s="6">
        <f>январь!H34+февраль!H34+март!H34+апрель!H34+май!H34+июнь!H34+июль!H34+август!H34+сентябрь!H34+октябрь!H34+ноябрь!H34+декабрь!H34</f>
        <v>0</v>
      </c>
      <c r="I34" s="6">
        <f>январь!I34+февраль!I34+март!I34+апрель!I34+май!I34+июнь!I34+июль!I34+август!I34+сентябрь!I34+октябрь!I34+ноябрь!I34+декабрь!I34</f>
        <v>1429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f>январь!G35+февраль!G35+март!G35+апрель!G35+май!G35+июнь!G35+июль!G35+август!G35+сентябрь!G35+октябрь!G35+ноябрь!G35+декабрь!G35</f>
        <v>674016</v>
      </c>
      <c r="H35" s="6">
        <f>январь!H35+февраль!H35+март!H35+апрель!H35+май!H35+июнь!H35+июль!H35+август!H35+сентябрь!H35+октябрь!H35+ноябрь!H35+декабрь!H35</f>
        <v>147336</v>
      </c>
      <c r="I35" s="6">
        <f>январь!I35+февраль!I35+март!I35+апрель!I35+май!I35+июнь!I35+июль!I35+август!I35+сентябрь!I35+октябрь!I35+ноябрь!I35+декабрь!I35</f>
        <v>157812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f>январь!G36+февраль!G36+март!G36+апрель!G36+май!G36+июнь!G36+июль!G36+август!G36+сентябрь!G36+октябрь!G36+ноябрь!G36+декабрь!G36</f>
        <v>1083056</v>
      </c>
      <c r="H36" s="6">
        <f>январь!H36+февраль!H36+март!H36+апрель!H36+май!H36+июнь!H36+июль!H36+август!H36+сентябрь!H36+октябрь!H36+ноябрь!H36+декабрь!H36</f>
        <v>239109</v>
      </c>
      <c r="I36" s="6">
        <f>январь!I36+февраль!I36+март!I36+апрель!I36+май!I36+июнь!I36+июль!I36+август!I36+сентябрь!I36+октябрь!I36+ноябрь!I36+декабрь!I36</f>
        <v>365043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f>январь!G37+февраль!G37+март!G37+апрель!G37+май!G37+июнь!G37+июль!G37+август!G37+сентябрь!G37+октябрь!G37+ноябрь!G37+декабрь!G37</f>
        <v>797249</v>
      </c>
      <c r="H37" s="6">
        <f>январь!H37+февраль!H37+март!H37+апрель!H37+май!H37+июнь!H37+июль!H37+август!H37+сентябрь!H37+октябрь!H37+ноябрь!H37+декабрь!H37</f>
        <v>191915</v>
      </c>
      <c r="I37" s="6">
        <f>январь!I37+февраль!I37+март!I37+апрель!I37+май!I37+июнь!I37+июль!I37+август!I37+сентябрь!I37+октябрь!I37+ноябрь!I37+декабрь!I37</f>
        <v>739120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f>январь!G38+февраль!G38+март!G38+апрель!G38+май!G38+июнь!G38+июль!G38+август!G38+сентябрь!G38+октябрь!G38+ноябрь!G38+декабрь!G38</f>
        <v>411713</v>
      </c>
      <c r="H38" s="6">
        <f>январь!H38+февраль!H38+март!H38+апрель!H38+май!H38+июнь!H38+июль!H38+август!H38+сентябрь!H38+октябрь!H38+ноябрь!H38+декабрь!H38</f>
        <v>268392</v>
      </c>
      <c r="I38" s="6">
        <f>январь!I38+февраль!I38+март!I38+апрель!I38+май!I38+июнь!I38+июль!I38+август!I38+сентябрь!I38+октябрь!I38+ноябрь!I38+декабрь!I38</f>
        <v>217392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f>январь!G39+февраль!G39+март!G39+апрель!G39+май!G39+июнь!G39+июль!G39+август!G39+сентябрь!G39+октябрь!G39+ноябрь!G39+декабрь!G39</f>
        <v>1009675</v>
      </c>
      <c r="H39" s="6">
        <f>январь!H39+февраль!H39+март!H39+апрель!H39+май!H39+июнь!H39+июль!H39+август!H39+сентябрь!H39+октябрь!H39+ноябрь!H39+декабрь!H39</f>
        <v>215838</v>
      </c>
      <c r="I39" s="6">
        <f>январь!I39+февраль!I39+март!I39+апрель!I39+май!I39+июнь!I39+июль!I39+август!I39+сентябрь!I39+октябрь!I39+ноябрь!I39+декабрь!I39</f>
        <v>274244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f>январь!G40+февраль!G40+март!G40+апрель!G40+май!G40+июнь!G40+июль!G40+август!G40+сентябрь!G40+октябрь!G40+ноябрь!G40+декабрь!G40</f>
        <v>22572</v>
      </c>
      <c r="H40" s="6">
        <f>январь!H40+февраль!H40+март!H40+апрель!H40+май!H40+июнь!H40+июль!H40+август!H40+сентябрь!H40+октябрь!H40+ноябрь!H40+декабрь!H40</f>
        <v>0</v>
      </c>
      <c r="I40" s="6">
        <f>январь!I40+февраль!I40+март!I40+апрель!I40+май!I40+июнь!I40+июль!I40+август!I40+сентябрь!I40+октябрь!I40+ноябрь!I40+декабрь!I40</f>
        <v>2323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f>январь!G41+февраль!G41+март!G41+апрель!G41+май!G41+июнь!G41+июль!G41+август!G41+сентябрь!G41+октябрь!G41+ноябрь!G41+декабрь!G41</f>
        <v>108101</v>
      </c>
      <c r="H41" s="6">
        <f>январь!H41+февраль!H41+март!H41+апрель!H41+май!H41+июнь!H41+июль!H41+август!H41+сентябрь!H41+октябрь!H41+ноябрь!H41+декабрь!H41</f>
        <v>8543</v>
      </c>
      <c r="I41" s="6">
        <f>январь!I41+февраль!I41+март!I41+апрель!I41+май!I41+июнь!I41+июль!I41+август!I41+сентябрь!I41+октябрь!I41+ноябрь!I41+декабрь!I41</f>
        <v>28976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f>январь!G42+февраль!G42+март!G42+апрель!G42+май!G42+июнь!G42+июль!G42+август!G42+сентябрь!G42+октябрь!G42+ноябрь!G42+декабрь!G42</f>
        <v>74515</v>
      </c>
      <c r="H42" s="6">
        <f>январь!H42+февраль!H42+март!H42+апрель!H42+май!H42+июнь!H42+июль!H42+август!H42+сентябрь!H42+октябрь!H42+ноябрь!H42+декабрь!H42</f>
        <v>26860</v>
      </c>
      <c r="I42" s="6">
        <f>январь!I42+февраль!I42+март!I42+апрель!I42+май!I42+июнь!I42+июль!I42+август!I42+сентябрь!I42+октябрь!I42+ноябрь!I42+декабрь!I42</f>
        <v>17475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f>январь!G43+февраль!G43+март!G43+апрель!G43+май!G43+июнь!G43+июль!G43+август!G43+сентябрь!G43+октябрь!G43+ноябрь!G43+декабрь!G43</f>
        <v>73786</v>
      </c>
      <c r="H43" s="6">
        <f>январь!H43+февраль!H43+март!H43+апрель!H43+май!H43+июнь!H43+июль!H43+август!H43+сентябрь!H43+октябрь!H43+ноябрь!H43+декабрь!H43</f>
        <v>650</v>
      </c>
      <c r="I43" s="6">
        <f>январь!I43+февраль!I43+март!I43+апрель!I43+май!I43+июнь!I43+июль!I43+август!I43+сентябрь!I43+октябрь!I43+ноябрь!I43+декабрь!I43</f>
        <v>24135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f>январь!G44+февраль!G44+март!G44+апрель!G44+май!G44+июнь!G44+июль!G44+август!G44+сентябрь!G44+октябрь!G44+ноябрь!G44+декабрь!G44</f>
        <v>376117</v>
      </c>
      <c r="H44" s="6">
        <f>январь!H44+февраль!H44+март!H44+апрель!H44+май!H44+июнь!H44+июль!H44+август!H44+сентябрь!H44+октябрь!H44+ноябрь!H44+декабрь!H44</f>
        <v>74718</v>
      </c>
      <c r="I44" s="6">
        <f>январь!I44+февраль!I44+март!I44+апрель!I44+май!I44+июнь!I44+июль!I44+август!I44+сентябрь!I44+октябрь!I44+ноябрь!I44+декабрь!I44</f>
        <v>174438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f>январь!G45+февраль!G45+март!G45+апрель!G45+май!G45+июнь!G45+июль!G45+август!G45+сентябрь!G45+октябрь!G45+ноябрь!G45+декабрь!G45</f>
        <v>18277</v>
      </c>
      <c r="H45" s="6">
        <f>январь!H45+февраль!H45+март!H45+апрель!H45+май!H45+июнь!H45+июль!H45+август!H45+сентябрь!H45+октябрь!H45+ноябрь!H45+декабрь!H45</f>
        <v>0</v>
      </c>
      <c r="I45" s="6">
        <f>январь!I45+февраль!I45+март!I45+апрель!I45+май!I45+июнь!I45+июль!I45+август!I45+сентябрь!I45+октябрь!I45+ноябрь!I45+декабрь!I45</f>
        <v>4676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f>январь!G46+февраль!G46+март!G46+апрель!G46+май!G46+июнь!G46+июль!G46+август!G46+сентябрь!G46+октябрь!G46+ноябрь!G46+декабрь!G46</f>
        <v>602997</v>
      </c>
      <c r="H46" s="6">
        <f>январь!H46+февраль!H46+март!H46+апрель!H46+май!H46+июнь!H46+июль!H46+август!H46+сентябрь!H46+октябрь!H46+ноябрь!H46+декабрь!H46</f>
        <v>117439</v>
      </c>
      <c r="I46" s="6">
        <f>январь!I46+февраль!I46+март!I46+апрель!I46+май!I46+июнь!I46+июль!I46+август!I46+сентябрь!I46+октябрь!I46+ноябрь!I46+декабрь!I46</f>
        <v>137587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f>январь!G47+февраль!G47+март!G47+апрель!G47+май!G47+июнь!G47+июль!G47+август!G47+сентябрь!G47+октябрь!G47+ноябрь!G47+декабрь!G47</f>
        <v>215341</v>
      </c>
      <c r="H47" s="6">
        <f>январь!H47+февраль!H47+март!H47+апрель!H47+май!H47+июнь!H47+июль!H47+август!H47+сентябрь!H47+октябрь!H47+ноябрь!H47+декабрь!H47</f>
        <v>18125</v>
      </c>
      <c r="I47" s="6">
        <f>январь!I47+февраль!I47+март!I47+апрель!I47+май!I47+июнь!I47+июль!I47+август!I47+сентябрь!I47+октябрь!I47+ноябрь!I47+декабрь!I47</f>
        <v>128100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f>январь!G48+февраль!G48+март!G48+апрель!G48+май!G48+июнь!G48+июль!G48+август!G48+сентябрь!G48+октябрь!G48+ноябрь!G48+декабрь!G48</f>
        <v>681354</v>
      </c>
      <c r="H48" s="6">
        <f>январь!H48+февраль!H48+март!H48+апрель!H48+май!H48+июнь!H48+июль!H48+август!H48+сентябрь!H48+октябрь!H48+ноябрь!H48+декабрь!H48</f>
        <v>131321</v>
      </c>
      <c r="I48" s="6">
        <f>январь!I48+февраль!I48+март!I48+апрель!I48+май!I48+июнь!I48+июль!I48+август!I48+сентябрь!I48+октябрь!I48+ноябрь!I48+декабрь!I48</f>
        <v>211015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f>январь!G49+февраль!G49+март!G49+апрель!G49+май!G49+июнь!G49+июль!G49+август!G49+сентябрь!G49+октябрь!G49+ноябрь!G49+декабрь!G49</f>
        <v>76194</v>
      </c>
      <c r="H49" s="6">
        <f>январь!H49+февраль!H49+март!H49+апрель!H49+май!H49+июнь!H49+июль!H49+август!H49+сентябрь!H49+октябрь!H49+ноябрь!H49+декабрь!H49</f>
        <v>7027</v>
      </c>
      <c r="I49" s="6">
        <f>январь!I49+февраль!I49+март!I49+апрель!I49+май!I49+июнь!I49+июль!I49+август!I49+сентябрь!I49+октябрь!I49+ноябрь!I49+декабрь!I49</f>
        <v>30025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f>январь!G50+февраль!G50+март!G50+апрель!G50+май!G50+июнь!G50+июль!G50+август!G50+сентябрь!G50+октябрь!G50+ноябрь!G50+декабрь!G50</f>
        <v>289549</v>
      </c>
      <c r="H50" s="6">
        <f>январь!H50+февраль!H50+март!H50+апрель!H50+май!H50+июнь!H50+июль!H50+август!H50+сентябрь!H50+октябрь!H50+ноябрь!H50+декабрь!H50</f>
        <v>27362</v>
      </c>
      <c r="I50" s="6">
        <f>январь!I50+февраль!I50+март!I50+апрель!I50+май!I50+июнь!I50+июль!I50+август!I50+сентябрь!I50+октябрь!I50+ноябрь!I50+декабрь!I50</f>
        <v>143004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f>январь!G51+февраль!G51+март!G51+апрель!G51+май!G51+июнь!G51+июль!G51+август!G51+сентябрь!G51+октябрь!G51+ноябрь!G51+декабрь!G51</f>
        <v>80049</v>
      </c>
      <c r="H51" s="6">
        <f>январь!H51+февраль!H51+март!H51+апрель!H51+май!H51+июнь!H51+июль!H51+август!H51+сентябрь!H51+октябрь!H51+ноябрь!H51+декабрь!H51</f>
        <v>0</v>
      </c>
      <c r="I51" s="6">
        <f>январь!I51+февраль!I51+март!I51+апрель!I51+май!I51+июнь!I51+июль!I51+август!I51+сентябрь!I51+октябрь!I51+ноябрь!I51+декабрь!I51</f>
        <v>35111</v>
      </c>
      <c r="K51" s="8"/>
      <c r="L51" s="8"/>
      <c r="M51" s="8"/>
    </row>
    <row r="52" spans="1:13" ht="13.5" customHeight="1" x14ac:dyDescent="0.2">
      <c r="A52" s="16" t="s">
        <v>4</v>
      </c>
      <c r="B52" s="16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11833258</v>
      </c>
      <c r="H52" s="11">
        <f t="shared" ref="H52:I52" si="0">SUM(H15:H51)</f>
        <v>3051297</v>
      </c>
      <c r="I52" s="11">
        <f t="shared" si="0"/>
        <v>4592954</v>
      </c>
    </row>
    <row r="53" spans="1:13" x14ac:dyDescent="0.2">
      <c r="G53" s="12"/>
      <c r="H53" s="12"/>
      <c r="I53" s="12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58"/>
  <sheetViews>
    <sheetView topLeftCell="A26" workbookViewId="0">
      <selection activeCell="I43" sqref="I43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H6" s="15" t="s">
        <v>30</v>
      </c>
      <c r="I6" s="15"/>
    </row>
    <row r="7" spans="1:13" x14ac:dyDescent="0.2"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2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2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69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3" t="s">
        <v>32</v>
      </c>
      <c r="E13" s="3" t="s">
        <v>33</v>
      </c>
      <c r="F13" s="3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23960</v>
      </c>
      <c r="H15" s="6">
        <v>1349</v>
      </c>
      <c r="I15" s="6">
        <v>29967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14980</v>
      </c>
      <c r="H16" s="6">
        <v>1465</v>
      </c>
      <c r="I16" s="6">
        <v>5915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2605</v>
      </c>
      <c r="H17" s="6"/>
      <c r="I17" s="6">
        <v>400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37580</v>
      </c>
      <c r="H18" s="6">
        <v>1319</v>
      </c>
      <c r="I18" s="6">
        <v>4596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5661</v>
      </c>
      <c r="H19" s="6">
        <v>114</v>
      </c>
      <c r="I19" s="6">
        <v>1895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44906</v>
      </c>
      <c r="H20" s="6">
        <v>16106</v>
      </c>
      <c r="I20" s="6">
        <v>16372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11036</v>
      </c>
      <c r="H21" s="6">
        <v>4656</v>
      </c>
      <c r="I21" s="6">
        <v>2082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4553</v>
      </c>
      <c r="H22" s="6">
        <v>746</v>
      </c>
      <c r="I22" s="6">
        <v>1903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7905</v>
      </c>
      <c r="H23" s="6">
        <v>717</v>
      </c>
      <c r="I23" s="6">
        <v>1120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3494</v>
      </c>
      <c r="H24" s="6">
        <v>167</v>
      </c>
      <c r="I24" s="6">
        <v>1073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9423</v>
      </c>
      <c r="H25" s="6"/>
      <c r="I25" s="6">
        <v>2981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52076</v>
      </c>
      <c r="H26" s="6">
        <v>10774</v>
      </c>
      <c r="I26" s="6">
        <v>13352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13361</v>
      </c>
      <c r="H27" s="6">
        <v>450</v>
      </c>
      <c r="I27" s="6">
        <v>2604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52177</v>
      </c>
      <c r="H28" s="6">
        <v>3744</v>
      </c>
      <c r="I28" s="6">
        <v>11445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3776</v>
      </c>
      <c r="H29" s="6">
        <v>170</v>
      </c>
      <c r="I29" s="6">
        <v>761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51355</v>
      </c>
      <c r="H30" s="6">
        <v>40027</v>
      </c>
      <c r="I30" s="6">
        <v>9983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7175</v>
      </c>
      <c r="H31" s="6"/>
      <c r="I31" s="6">
        <v>678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22865</v>
      </c>
      <c r="H32" s="6">
        <v>14010</v>
      </c>
      <c r="I32" s="6">
        <v>2245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12932</v>
      </c>
      <c r="H33" s="6">
        <v>251</v>
      </c>
      <c r="I33" s="6">
        <v>1760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801</v>
      </c>
      <c r="H34" s="6"/>
      <c r="I34" s="6">
        <v>7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42561</v>
      </c>
      <c r="H35" s="6">
        <v>12573</v>
      </c>
      <c r="I35" s="6">
        <v>13043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88485</v>
      </c>
      <c r="H36" s="6">
        <v>15930</v>
      </c>
      <c r="I36" s="6">
        <v>19885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59023</v>
      </c>
      <c r="H37" s="6">
        <v>15154</v>
      </c>
      <c r="I37" s="6">
        <v>40507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30462</v>
      </c>
      <c r="H38" s="6">
        <v>16146</v>
      </c>
      <c r="I38" s="6">
        <v>8040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78476</v>
      </c>
      <c r="H39" s="6">
        <v>13966</v>
      </c>
      <c r="I39" s="6">
        <v>22850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3345</v>
      </c>
      <c r="H40" s="6"/>
      <c r="I40" s="6">
        <v>151</v>
      </c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5536</v>
      </c>
      <c r="H41" s="6">
        <v>420</v>
      </c>
      <c r="I41" s="6">
        <v>1752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4747</v>
      </c>
      <c r="H42" s="6">
        <v>758</v>
      </c>
      <c r="I42" s="6">
        <v>818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7503</v>
      </c>
      <c r="H43" s="6">
        <v>150</v>
      </c>
      <c r="I43" s="6">
        <v>919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28361</v>
      </c>
      <c r="H44" s="6">
        <v>4513</v>
      </c>
      <c r="I44" s="6">
        <v>11400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2494</v>
      </c>
      <c r="H45" s="6"/>
      <c r="I45" s="6">
        <v>382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43694</v>
      </c>
      <c r="H46" s="6">
        <v>9182</v>
      </c>
      <c r="I46" s="6">
        <v>9104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21126</v>
      </c>
      <c r="H47" s="6">
        <v>1360</v>
      </c>
      <c r="I47" s="6">
        <v>6376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55100</v>
      </c>
      <c r="H48" s="6">
        <v>9182</v>
      </c>
      <c r="I48" s="6">
        <v>13444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5499</v>
      </c>
      <c r="H49" s="6">
        <v>884</v>
      </c>
      <c r="I49" s="6">
        <v>839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20800</v>
      </c>
      <c r="H50" s="6">
        <v>1584</v>
      </c>
      <c r="I50" s="6">
        <v>6595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7164</v>
      </c>
      <c r="H51" s="6"/>
      <c r="I51" s="6">
        <v>1978</v>
      </c>
      <c r="J51" s="7"/>
      <c r="K51" s="8"/>
      <c r="L51" s="8"/>
      <c r="M51" s="8"/>
    </row>
    <row r="52" spans="1:13" ht="13.5" customHeight="1" x14ac:dyDescent="0.2">
      <c r="A52" s="16" t="s">
        <v>4</v>
      </c>
      <c r="B52" s="16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886997</v>
      </c>
      <c r="H52" s="11">
        <f t="shared" ref="H52:I52" si="0">SUM(H15:H51)</f>
        <v>197867</v>
      </c>
      <c r="I52" s="11">
        <f t="shared" si="0"/>
        <v>269222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8"/>
  <sheetViews>
    <sheetView topLeftCell="A22" workbookViewId="0">
      <selection activeCell="H52" sqref="H52:I52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H6" s="15" t="s">
        <v>30</v>
      </c>
      <c r="I6" s="15"/>
    </row>
    <row r="7" spans="1:13" x14ac:dyDescent="0.2"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2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2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10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3" t="s">
        <v>32</v>
      </c>
      <c r="E13" s="3" t="s">
        <v>33</v>
      </c>
      <c r="F13" s="3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30210</v>
      </c>
      <c r="H15" s="6">
        <v>2833</v>
      </c>
      <c r="I15" s="6">
        <v>36673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14499</v>
      </c>
      <c r="H16" s="6">
        <v>2038</v>
      </c>
      <c r="I16" s="6">
        <v>7312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2385</v>
      </c>
      <c r="H17" s="6"/>
      <c r="I17" s="6">
        <v>436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41330</v>
      </c>
      <c r="H18" s="6">
        <v>5366</v>
      </c>
      <c r="I18" s="6">
        <v>4066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6598</v>
      </c>
      <c r="H19" s="6">
        <v>93</v>
      </c>
      <c r="I19" s="6">
        <v>2769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45626</v>
      </c>
      <c r="H20" s="6">
        <v>24036</v>
      </c>
      <c r="I20" s="6">
        <v>24562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11259</v>
      </c>
      <c r="H21" s="6">
        <v>6203</v>
      </c>
      <c r="I21" s="6">
        <v>2077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6956</v>
      </c>
      <c r="H22" s="6">
        <v>1621</v>
      </c>
      <c r="I22" s="6">
        <v>2573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7546</v>
      </c>
      <c r="H23" s="6">
        <v>371</v>
      </c>
      <c r="I23" s="6">
        <v>2962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3672</v>
      </c>
      <c r="H24" s="6">
        <v>497</v>
      </c>
      <c r="I24" s="6">
        <v>1171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8620</v>
      </c>
      <c r="H25" s="6"/>
      <c r="I25" s="6">
        <v>4304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63714</v>
      </c>
      <c r="H26" s="6">
        <v>14245</v>
      </c>
      <c r="I26" s="6">
        <v>23719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12141</v>
      </c>
      <c r="H27" s="6">
        <v>340</v>
      </c>
      <c r="I27" s="6">
        <v>3093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51361</v>
      </c>
      <c r="H28" s="6">
        <v>4396</v>
      </c>
      <c r="I28" s="6">
        <v>15170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3553</v>
      </c>
      <c r="H29" s="6">
        <v>150</v>
      </c>
      <c r="I29" s="6">
        <v>1181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55342</v>
      </c>
      <c r="H30" s="6">
        <v>35273</v>
      </c>
      <c r="I30" s="6">
        <v>10842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8199</v>
      </c>
      <c r="H31" s="6"/>
      <c r="I31" s="6">
        <v>957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22816</v>
      </c>
      <c r="H32" s="6">
        <v>23169</v>
      </c>
      <c r="I32" s="6">
        <v>6415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9737</v>
      </c>
      <c r="H33" s="6">
        <v>87</v>
      </c>
      <c r="I33" s="6">
        <v>2260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577</v>
      </c>
      <c r="H34" s="6"/>
      <c r="I34" s="6">
        <v>69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57397</v>
      </c>
      <c r="H35" s="6">
        <v>13742</v>
      </c>
      <c r="I35" s="6">
        <v>12914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76092</v>
      </c>
      <c r="H36" s="6">
        <v>18701</v>
      </c>
      <c r="I36" s="6">
        <v>27517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61366</v>
      </c>
      <c r="H37" s="6">
        <v>16384</v>
      </c>
      <c r="I37" s="6">
        <v>52423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34352</v>
      </c>
      <c r="H38" s="6">
        <v>19325</v>
      </c>
      <c r="I38" s="6">
        <v>13141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76731</v>
      </c>
      <c r="H39" s="6">
        <v>15246</v>
      </c>
      <c r="I39" s="6">
        <v>26429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1477</v>
      </c>
      <c r="H40" s="6"/>
      <c r="I40" s="6">
        <v>198</v>
      </c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8189</v>
      </c>
      <c r="H41" s="6">
        <v>131</v>
      </c>
      <c r="I41" s="6">
        <v>2207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6853</v>
      </c>
      <c r="H42" s="6">
        <v>1904</v>
      </c>
      <c r="I42" s="6">
        <v>945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7748</v>
      </c>
      <c r="H43" s="6">
        <v>60</v>
      </c>
      <c r="I43" s="6">
        <v>2252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28971</v>
      </c>
      <c r="H44" s="6">
        <v>9106</v>
      </c>
      <c r="I44" s="6">
        <v>13072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1752</v>
      </c>
      <c r="H45" s="6"/>
      <c r="I45" s="6">
        <v>659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42710</v>
      </c>
      <c r="H46" s="6">
        <v>8820</v>
      </c>
      <c r="I46" s="6">
        <v>10925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19860</v>
      </c>
      <c r="H47" s="6">
        <v>1735</v>
      </c>
      <c r="I47" s="6">
        <v>8825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55624</v>
      </c>
      <c r="H48" s="6">
        <v>9856</v>
      </c>
      <c r="I48" s="6">
        <v>17068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5621</v>
      </c>
      <c r="H49" s="6">
        <v>593</v>
      </c>
      <c r="I49" s="6">
        <v>1617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19078</v>
      </c>
      <c r="H50" s="6">
        <v>2743</v>
      </c>
      <c r="I50" s="6">
        <v>11668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6275</v>
      </c>
      <c r="H51" s="6"/>
      <c r="I51" s="6">
        <v>2598</v>
      </c>
      <c r="J51" s="7"/>
      <c r="K51" s="8"/>
      <c r="L51" s="8"/>
      <c r="M51" s="8"/>
    </row>
    <row r="52" spans="1:13" ht="13.5" customHeight="1" x14ac:dyDescent="0.2">
      <c r="A52" s="16" t="s">
        <v>4</v>
      </c>
      <c r="B52" s="16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916237</v>
      </c>
      <c r="H52" s="11">
        <f t="shared" ref="H52:I52" si="0">SUM(H15:H51)</f>
        <v>239064</v>
      </c>
      <c r="I52" s="11">
        <f t="shared" si="0"/>
        <v>357069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58"/>
  <sheetViews>
    <sheetView topLeftCell="A17" zoomScaleNormal="100" workbookViewId="0">
      <selection activeCell="G16" sqref="G16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H6" s="15" t="s">
        <v>30</v>
      </c>
      <c r="I6" s="15"/>
    </row>
    <row r="7" spans="1:13" x14ac:dyDescent="0.2"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2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2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11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3" t="s">
        <v>32</v>
      </c>
      <c r="E13" s="3" t="s">
        <v>33</v>
      </c>
      <c r="F13" s="3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25505</v>
      </c>
      <c r="H15" s="6">
        <v>5498</v>
      </c>
      <c r="I15" s="6">
        <f>56453-H15</f>
        <v>50955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17891</v>
      </c>
      <c r="H16" s="6">
        <f>2324+585</f>
        <v>2909</v>
      </c>
      <c r="I16" s="6">
        <f>10591-H16</f>
        <v>7682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2119</v>
      </c>
      <c r="H17" s="6"/>
      <c r="I17" s="6">
        <v>574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54052</v>
      </c>
      <c r="H18" s="6">
        <v>4176</v>
      </c>
      <c r="I18" s="6">
        <f>11002-H18</f>
        <v>6826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6187</v>
      </c>
      <c r="H19" s="6">
        <v>1018</v>
      </c>
      <c r="I19" s="6">
        <f>4243-H19</f>
        <v>3225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42923</v>
      </c>
      <c r="H20" s="6">
        <f>13520+12694</f>
        <v>26214</v>
      </c>
      <c r="I20" s="6">
        <f>56369-H20</f>
        <v>30155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13809</v>
      </c>
      <c r="H21" s="6">
        <v>8119</v>
      </c>
      <c r="I21" s="6">
        <v>7216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4850</v>
      </c>
      <c r="H22" s="6">
        <v>2122</v>
      </c>
      <c r="I22" s="6">
        <f>4978-H22</f>
        <v>2856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6387</v>
      </c>
      <c r="H23" s="6">
        <v>414</v>
      </c>
      <c r="I23" s="6">
        <v>3715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2547</v>
      </c>
      <c r="H24" s="6">
        <v>837</v>
      </c>
      <c r="I24" s="6">
        <f>2334-H24</f>
        <v>1497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11160</v>
      </c>
      <c r="H25" s="6"/>
      <c r="I25" s="6">
        <v>6135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55363</v>
      </c>
      <c r="H26" s="6">
        <f>8634+3389</f>
        <v>12023</v>
      </c>
      <c r="I26" s="6">
        <v>23604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6114</v>
      </c>
      <c r="H27" s="6">
        <v>1499</v>
      </c>
      <c r="I27" s="6">
        <f>5221-H27</f>
        <v>3722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58917</v>
      </c>
      <c r="H28" s="6">
        <v>4680</v>
      </c>
      <c r="I28" s="6">
        <f>23837-H28</f>
        <v>19157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4260</v>
      </c>
      <c r="H29" s="6">
        <v>164</v>
      </c>
      <c r="I29" s="6">
        <f>1559-H29</f>
        <v>1395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62202</v>
      </c>
      <c r="H30" s="6">
        <f>1865+39850</f>
        <v>41715</v>
      </c>
      <c r="I30" s="6">
        <f>56274-H30</f>
        <v>14559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10788</v>
      </c>
      <c r="H31" s="6"/>
      <c r="I31" s="6">
        <v>1277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30886</v>
      </c>
      <c r="H32" s="6">
        <f>14216+22312</f>
        <v>36528</v>
      </c>
      <c r="I32" s="6">
        <f>49341-H32</f>
        <v>12813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8352</v>
      </c>
      <c r="H33" s="6">
        <f>228</f>
        <v>228</v>
      </c>
      <c r="I33" s="6">
        <f>3260-H33</f>
        <v>3032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683</v>
      </c>
      <c r="H34" s="6"/>
      <c r="I34" s="6">
        <v>210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62257</v>
      </c>
      <c r="H35" s="6">
        <v>19312</v>
      </c>
      <c r="I35" s="6">
        <f>37352-H35</f>
        <v>18040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90916</v>
      </c>
      <c r="H36" s="6">
        <f>20796+37</f>
        <v>20833</v>
      </c>
      <c r="I36" s="6">
        <f>62386-H36</f>
        <v>41553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74975</v>
      </c>
      <c r="H37" s="6">
        <v>13837</v>
      </c>
      <c r="I37" s="6">
        <v>66507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33879</v>
      </c>
      <c r="H38" s="6">
        <f>4255+17094</f>
        <v>21349</v>
      </c>
      <c r="I38" s="6">
        <f>40053-H38</f>
        <v>18704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88351</v>
      </c>
      <c r="H39" s="6">
        <f>12517+6430</f>
        <v>18947</v>
      </c>
      <c r="I39" s="6">
        <f>46304-H39</f>
        <v>27357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1158</v>
      </c>
      <c r="H40" s="6"/>
      <c r="I40" s="6">
        <v>240</v>
      </c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7390</v>
      </c>
      <c r="H41" s="6">
        <v>610</v>
      </c>
      <c r="I41" s="6">
        <f>4307-H41</f>
        <v>3697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6906</v>
      </c>
      <c r="H42" s="6">
        <v>2556</v>
      </c>
      <c r="I42" s="6">
        <f>3681-H42</f>
        <v>1125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5388</v>
      </c>
      <c r="H43" s="6">
        <v>60</v>
      </c>
      <c r="I43" s="6">
        <f>3447-H43</f>
        <v>3387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33348</v>
      </c>
      <c r="H44" s="6">
        <f>4027+276</f>
        <v>4303</v>
      </c>
      <c r="I44" s="6">
        <f>24710-H44</f>
        <v>20407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1431</v>
      </c>
      <c r="H45" s="6"/>
      <c r="I45" s="6">
        <v>650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47833</v>
      </c>
      <c r="H46" s="6">
        <f>6043+2965</f>
        <v>9008</v>
      </c>
      <c r="I46" s="6">
        <f>20693-H46</f>
        <v>11685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17802</v>
      </c>
      <c r="H47" s="6">
        <v>3074</v>
      </c>
      <c r="I47" s="6">
        <f>14711-H47</f>
        <v>11637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60434</v>
      </c>
      <c r="H48" s="6">
        <f>8018+5233</f>
        <v>13251</v>
      </c>
      <c r="I48" s="6">
        <f>32059-H48</f>
        <v>18808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5599</v>
      </c>
      <c r="H49" s="6">
        <v>1100</v>
      </c>
      <c r="I49" s="6">
        <f>4194-H49</f>
        <v>3094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23050</v>
      </c>
      <c r="H50" s="6">
        <f>3349-48</f>
        <v>3301</v>
      </c>
      <c r="I50" s="6">
        <f>17382-48-H50</f>
        <v>14033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6482</v>
      </c>
      <c r="H51" s="6"/>
      <c r="I51" s="6">
        <v>4055</v>
      </c>
      <c r="J51" s="7"/>
      <c r="K51" s="8"/>
      <c r="L51" s="8"/>
      <c r="M51" s="8"/>
    </row>
    <row r="52" spans="1:13" ht="13.5" customHeight="1" x14ac:dyDescent="0.2">
      <c r="A52" s="16" t="s">
        <v>4</v>
      </c>
      <c r="B52" s="16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992194</v>
      </c>
      <c r="H52" s="11">
        <f t="shared" ref="H52:I52" si="0">SUM(H15:H51)</f>
        <v>279685</v>
      </c>
      <c r="I52" s="11">
        <f t="shared" si="0"/>
        <v>465584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58"/>
  <sheetViews>
    <sheetView topLeftCell="A15" zoomScale="90" zoomScaleNormal="90" workbookViewId="0">
      <selection activeCell="I46" sqref="I46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H6" s="15" t="s">
        <v>30</v>
      </c>
      <c r="I6" s="15"/>
    </row>
    <row r="7" spans="1:13" x14ac:dyDescent="0.2"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2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2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5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3" t="s">
        <v>32</v>
      </c>
      <c r="E13" s="3" t="s">
        <v>33</v>
      </c>
      <c r="F13" s="3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23094</v>
      </c>
      <c r="H15" s="6">
        <v>5612</v>
      </c>
      <c r="I15" s="25">
        <f>50824-H15</f>
        <v>45212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19740</v>
      </c>
      <c r="H16" s="6">
        <f>2825+1232</f>
        <v>4057</v>
      </c>
      <c r="I16" s="25">
        <f>13466-H16</f>
        <v>9409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1648</v>
      </c>
      <c r="H17" s="6"/>
      <c r="I17" s="25">
        <v>770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53686</v>
      </c>
      <c r="H18" s="6">
        <v>2885</v>
      </c>
      <c r="I18" s="25">
        <f>9150-H18</f>
        <v>6265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7022</v>
      </c>
      <c r="H19" s="6">
        <v>157</v>
      </c>
      <c r="I19" s="25">
        <f>3753-H19</f>
        <v>3596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41798</v>
      </c>
      <c r="H20" s="6">
        <f>15713+19154</f>
        <v>34867</v>
      </c>
      <c r="I20" s="25">
        <f>60291-H20</f>
        <v>25424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11792</v>
      </c>
      <c r="H21" s="6">
        <f>8817+887</f>
        <v>9704</v>
      </c>
      <c r="I21" s="25">
        <v>8277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5311</v>
      </c>
      <c r="H22" s="6">
        <v>1729</v>
      </c>
      <c r="I22" s="25">
        <f>5072-H22</f>
        <v>3343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6904</v>
      </c>
      <c r="H23" s="6">
        <f>303+224</f>
        <v>527</v>
      </c>
      <c r="I23" s="25">
        <v>6228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2714</v>
      </c>
      <c r="H24" s="6">
        <v>1136</v>
      </c>
      <c r="I24" s="25">
        <f>2876-H24</f>
        <v>1740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11875</v>
      </c>
      <c r="H25" s="6"/>
      <c r="I25" s="25">
        <v>5451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54569</v>
      </c>
      <c r="H26" s="6">
        <f>7222+4660</f>
        <v>11882</v>
      </c>
      <c r="I26" s="25">
        <v>19706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8773</v>
      </c>
      <c r="H27" s="6">
        <v>2239</v>
      </c>
      <c r="I27" s="25">
        <f>7563-H27</f>
        <v>5324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61219</v>
      </c>
      <c r="H28" s="6">
        <v>5673</v>
      </c>
      <c r="I28" s="25">
        <f>26438-H28</f>
        <v>20765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4010</v>
      </c>
      <c r="H29" s="6">
        <v>136</v>
      </c>
      <c r="I29" s="25">
        <f>1759-H29</f>
        <v>1623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58919</v>
      </c>
      <c r="H30" s="6">
        <f>1691+60364</f>
        <v>62055</v>
      </c>
      <c r="I30" s="25">
        <f>77183-H30</f>
        <v>15128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12046</v>
      </c>
      <c r="H31" s="6"/>
      <c r="I31" s="25">
        <v>1252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25834</v>
      </c>
      <c r="H32" s="6">
        <f>18459+18590</f>
        <v>37049</v>
      </c>
      <c r="I32" s="25">
        <f>44621-H32</f>
        <v>7572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10317</v>
      </c>
      <c r="H33" s="6">
        <v>530</v>
      </c>
      <c r="I33" s="25">
        <f>5233-H33</f>
        <v>4703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566</v>
      </c>
      <c r="H34" s="6"/>
      <c r="I34" s="25">
        <v>339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60277</v>
      </c>
      <c r="H35" s="6">
        <v>31080</v>
      </c>
      <c r="I35" s="25">
        <f>44956-H35</f>
        <v>13876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84861</v>
      </c>
      <c r="H36" s="6">
        <f>19593+1912</f>
        <v>21505</v>
      </c>
      <c r="I36" s="25">
        <f>60809-H36</f>
        <v>39304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68743</v>
      </c>
      <c r="H37" s="6">
        <f>3056+10395</f>
        <v>13451</v>
      </c>
      <c r="I37" s="25">
        <v>73730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32964</v>
      </c>
      <c r="H38" s="6">
        <f>3807+18655</f>
        <v>22462</v>
      </c>
      <c r="I38" s="25">
        <f>47517-H38</f>
        <v>25055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85063</v>
      </c>
      <c r="H39" s="6">
        <f>12055+3662</f>
        <v>15717</v>
      </c>
      <c r="I39" s="25">
        <f>44819-H39</f>
        <v>29102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1266</v>
      </c>
      <c r="H40" s="6"/>
      <c r="I40" s="25">
        <v>249</v>
      </c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8808</v>
      </c>
      <c r="H41" s="6">
        <v>1172</v>
      </c>
      <c r="I41" s="25">
        <f>3958-H41</f>
        <v>2786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5923</v>
      </c>
      <c r="H42" s="6">
        <v>2856</v>
      </c>
      <c r="I42" s="25">
        <f>4163-H42</f>
        <v>1307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7025</v>
      </c>
      <c r="H43" s="6">
        <v>70</v>
      </c>
      <c r="I43" s="25">
        <f>2335-H43</f>
        <v>2265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35988</v>
      </c>
      <c r="H44" s="6">
        <f>3093+198</f>
        <v>3291</v>
      </c>
      <c r="I44" s="25">
        <f>18926-H44</f>
        <v>15635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1026</v>
      </c>
      <c r="H45" s="6"/>
      <c r="I45" s="25">
        <v>658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52907</v>
      </c>
      <c r="H46" s="6">
        <f>5807+1951</f>
        <v>7758</v>
      </c>
      <c r="I46" s="25">
        <f>21933-H46</f>
        <v>14175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18025</v>
      </c>
      <c r="H47" s="6">
        <v>2620</v>
      </c>
      <c r="I47" s="25">
        <f>17141-H47</f>
        <v>14521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63882</v>
      </c>
      <c r="H48" s="6">
        <f>8818+4135</f>
        <v>12953</v>
      </c>
      <c r="I48" s="25">
        <f>34789-H48</f>
        <v>21836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5194</v>
      </c>
      <c r="H49" s="6">
        <v>1059</v>
      </c>
      <c r="I49" s="25">
        <f>4466-H49</f>
        <v>3407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23870</v>
      </c>
      <c r="H50" s="6">
        <v>3064</v>
      </c>
      <c r="I50" s="25">
        <f>19630-H50</f>
        <v>16566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5842</v>
      </c>
      <c r="H51" s="6"/>
      <c r="I51" s="25">
        <v>3504</v>
      </c>
      <c r="J51" s="7"/>
      <c r="K51" s="8"/>
      <c r="L51" s="8"/>
      <c r="M51" s="8"/>
    </row>
    <row r="52" spans="1:13" ht="13.5" customHeight="1" x14ac:dyDescent="0.2">
      <c r="A52" s="16" t="s">
        <v>4</v>
      </c>
      <c r="B52" s="16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983501</v>
      </c>
      <c r="H52" s="11">
        <f t="shared" ref="H52:I52" si="0">SUM(H15:H51)</f>
        <v>319296</v>
      </c>
      <c r="I52" s="11">
        <f t="shared" si="0"/>
        <v>470103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8"/>
  <sheetViews>
    <sheetView topLeftCell="A10" workbookViewId="0">
      <selection activeCell="H20" sqref="H20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H6" s="15" t="s">
        <v>30</v>
      </c>
      <c r="I6" s="15"/>
    </row>
    <row r="7" spans="1:13" x14ac:dyDescent="0.2"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2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2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12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3" t="s">
        <v>32</v>
      </c>
      <c r="E13" s="3" t="s">
        <v>33</v>
      </c>
      <c r="F13" s="3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45599</v>
      </c>
      <c r="H15" s="6">
        <v>3892</v>
      </c>
      <c r="I15" s="6">
        <f>81534-H15</f>
        <v>77642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f>30435-263</f>
        <v>30172</v>
      </c>
      <c r="H16" s="6">
        <f>2737+1020</f>
        <v>3757</v>
      </c>
      <c r="I16" s="6">
        <f>26199-H16</f>
        <v>22442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2293</v>
      </c>
      <c r="H17" s="6"/>
      <c r="I17" s="6">
        <v>975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95468</v>
      </c>
      <c r="H18" s="6">
        <v>3328</v>
      </c>
      <c r="I18" s="6">
        <f>13422-H18</f>
        <v>10094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f>4773+15045</f>
        <v>19818</v>
      </c>
      <c r="H19" s="6">
        <f>16332-15045</f>
        <v>1287</v>
      </c>
      <c r="I19" s="6">
        <v>4827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61030</v>
      </c>
      <c r="H20" s="6">
        <f>17456+23481</f>
        <v>40937</v>
      </c>
      <c r="I20" s="6">
        <f>77220-H20</f>
        <v>36283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14585</v>
      </c>
      <c r="H21" s="6">
        <v>13789</v>
      </c>
      <c r="I21" s="6">
        <v>9397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8936</v>
      </c>
      <c r="H22" s="6">
        <v>3666</v>
      </c>
      <c r="I22" s="6">
        <f>11158-H22</f>
        <v>7492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6392</v>
      </c>
      <c r="H23" s="6">
        <v>497</v>
      </c>
      <c r="I23" s="6">
        <v>7166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1979</v>
      </c>
      <c r="H24" s="6">
        <v>1499</v>
      </c>
      <c r="I24" s="6">
        <f>3063-H24</f>
        <v>1564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19590</v>
      </c>
      <c r="H25" s="6"/>
      <c r="I25" s="6">
        <v>6624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101885</v>
      </c>
      <c r="H26" s="6">
        <f>10667+8564</f>
        <v>19231</v>
      </c>
      <c r="I26" s="6">
        <v>27449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10133</v>
      </c>
      <c r="H27" s="6">
        <v>2750</v>
      </c>
      <c r="I27" s="6">
        <f>8723-H27</f>
        <v>5973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79921</v>
      </c>
      <c r="H28" s="6">
        <v>4882</v>
      </c>
      <c r="I28" s="6">
        <f>28160-H28</f>
        <v>23278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8294</v>
      </c>
      <c r="H29" s="6">
        <v>130</v>
      </c>
      <c r="I29" s="6">
        <f>2175-H29</f>
        <v>2045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67364</v>
      </c>
      <c r="H30" s="6">
        <f>6066+51459</f>
        <v>57525</v>
      </c>
      <c r="I30" s="6">
        <f>74767-H30</f>
        <v>17242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17428</v>
      </c>
      <c r="H31" s="6">
        <v>251</v>
      </c>
      <c r="I31" s="6">
        <f>1880-H31</f>
        <v>1629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37624</v>
      </c>
      <c r="H32" s="6">
        <f>630+27407</f>
        <v>28037</v>
      </c>
      <c r="I32" s="6">
        <f>42265-H32</f>
        <v>14228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14803</v>
      </c>
      <c r="H33" s="6">
        <v>127</v>
      </c>
      <c r="I33" s="6">
        <f>7541-H33</f>
        <v>7414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920</v>
      </c>
      <c r="H34" s="6"/>
      <c r="I34" s="6">
        <v>309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82517</v>
      </c>
      <c r="H35" s="6">
        <v>11625</v>
      </c>
      <c r="I35" s="6">
        <f>30632-H35</f>
        <v>19007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112032</v>
      </c>
      <c r="H36" s="6">
        <f>26987+3290</f>
        <v>30277</v>
      </c>
      <c r="I36" s="6">
        <f>90836-H36</f>
        <v>60559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94351</v>
      </c>
      <c r="H37" s="6">
        <v>18044</v>
      </c>
      <c r="I37" s="6">
        <v>110868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48091</v>
      </c>
      <c r="H38" s="6">
        <f>4226+24743</f>
        <v>28969</v>
      </c>
      <c r="I38" s="6">
        <f>61137-H38</f>
        <v>32168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118969</v>
      </c>
      <c r="H39" s="6">
        <f>20401+3178</f>
        <v>23579</v>
      </c>
      <c r="I39" s="6">
        <f>59393-H39</f>
        <v>35814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2145</v>
      </c>
      <c r="H40" s="6"/>
      <c r="I40" s="6">
        <v>427</v>
      </c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16343</v>
      </c>
      <c r="H41" s="6">
        <v>1561</v>
      </c>
      <c r="I41" s="6">
        <f>6070-H41</f>
        <v>4509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9730</v>
      </c>
      <c r="H42" s="6">
        <v>3689</v>
      </c>
      <c r="I42" s="6">
        <f>8020-H42</f>
        <v>4331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5008</v>
      </c>
      <c r="H43" s="6">
        <v>50</v>
      </c>
      <c r="I43" s="6">
        <f>3560-H43</f>
        <v>3510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37101</v>
      </c>
      <c r="H44" s="6">
        <f>7139+455</f>
        <v>7594</v>
      </c>
      <c r="I44" s="6">
        <f>30722-H44</f>
        <v>23128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1647</v>
      </c>
      <c r="H45" s="6"/>
      <c r="I45" s="6">
        <v>466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73254</v>
      </c>
      <c r="H46" s="6">
        <f>7627+2061</f>
        <v>9688</v>
      </c>
      <c r="I46" s="6">
        <f>27092-H46</f>
        <v>17404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18108</v>
      </c>
      <c r="H47" s="6">
        <v>943</v>
      </c>
      <c r="I47" s="6">
        <f>18719-H47</f>
        <v>17776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79008</v>
      </c>
      <c r="H48" s="6">
        <f>10715+8618</f>
        <v>19333</v>
      </c>
      <c r="I48" s="6">
        <f>48891-H48</f>
        <v>29558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10445</v>
      </c>
      <c r="H49" s="6">
        <v>388</v>
      </c>
      <c r="I49" s="6">
        <f>6069-H49</f>
        <v>5681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36452</v>
      </c>
      <c r="H50" s="6">
        <v>1900</v>
      </c>
      <c r="I50" s="6">
        <f>21071-H50</f>
        <v>19171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7510</v>
      </c>
      <c r="H51" s="6"/>
      <c r="I51" s="6">
        <v>4073</v>
      </c>
      <c r="J51" s="7"/>
      <c r="K51" s="8"/>
      <c r="L51" s="8"/>
      <c r="M51" s="8"/>
    </row>
    <row r="52" spans="1:13" ht="13.5" customHeight="1" x14ac:dyDescent="0.2">
      <c r="A52" s="16" t="s">
        <v>4</v>
      </c>
      <c r="B52" s="16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1396945</v>
      </c>
      <c r="H52" s="11">
        <f t="shared" ref="H52:I52" si="0">SUM(H15:H51)</f>
        <v>343225</v>
      </c>
      <c r="I52" s="11">
        <f t="shared" si="0"/>
        <v>672523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7:I7"/>
    <mergeCell ref="H1:I1"/>
    <mergeCell ref="H2:I2"/>
    <mergeCell ref="H3:I3"/>
    <mergeCell ref="H4:I4"/>
    <mergeCell ref="H5:I5"/>
    <mergeCell ref="H6:I6"/>
    <mergeCell ref="A52:B52"/>
    <mergeCell ref="A9:I10"/>
    <mergeCell ref="A12:A14"/>
    <mergeCell ref="B12:B14"/>
    <mergeCell ref="C12:C14"/>
    <mergeCell ref="G13:I13"/>
    <mergeCell ref="D12: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8"/>
  <sheetViews>
    <sheetView workbookViewId="0">
      <selection activeCell="H20" sqref="H20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H6" s="15" t="s">
        <v>30</v>
      </c>
      <c r="I6" s="15"/>
    </row>
    <row r="7" spans="1:13" x14ac:dyDescent="0.2"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2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2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13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3" t="s">
        <v>32</v>
      </c>
      <c r="E13" s="3" t="s">
        <v>33</v>
      </c>
      <c r="F13" s="3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31711</v>
      </c>
      <c r="H15" s="6">
        <v>2708</v>
      </c>
      <c r="I15" s="6">
        <f>52725-H15</f>
        <v>50017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f>20950-102</f>
        <v>20848</v>
      </c>
      <c r="H16" s="6">
        <f>2109+500</f>
        <v>2609</v>
      </c>
      <c r="I16" s="6">
        <f>15922-H16</f>
        <v>13313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1995</v>
      </c>
      <c r="H17" s="6"/>
      <c r="I17" s="6">
        <v>761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69080</v>
      </c>
      <c r="H18" s="6">
        <v>2822</v>
      </c>
      <c r="I18" s="6">
        <f>11466-H18</f>
        <v>8644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f>2274+5385</f>
        <v>7659</v>
      </c>
      <c r="H19" s="6">
        <f>5945-5385</f>
        <v>560</v>
      </c>
      <c r="I19" s="6">
        <v>3537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58122</v>
      </c>
      <c r="H20" s="6">
        <f>14166+18790</f>
        <v>32956</v>
      </c>
      <c r="I20" s="6">
        <f>66424-H20</f>
        <v>33468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12607</v>
      </c>
      <c r="H21" s="6">
        <v>9881</v>
      </c>
      <c r="I21" s="6">
        <v>6527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9505</v>
      </c>
      <c r="H22" s="6">
        <v>2617</v>
      </c>
      <c r="I22" s="6">
        <f>6918-H22</f>
        <v>4301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5047</v>
      </c>
      <c r="H23" s="6">
        <v>408</v>
      </c>
      <c r="I23" s="6">
        <v>5500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2202</v>
      </c>
      <c r="H24" s="6">
        <v>1462</v>
      </c>
      <c r="I24" s="6">
        <f>3001-H24</f>
        <v>1539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15165</v>
      </c>
      <c r="H25" s="6"/>
      <c r="I25" s="6">
        <v>5749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90983</v>
      </c>
      <c r="H26" s="6">
        <f>9012+3770</f>
        <v>12782</v>
      </c>
      <c r="I26" s="6">
        <f>43432-H26-I25</f>
        <v>24901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9146</v>
      </c>
      <c r="H27" s="6">
        <v>2832</v>
      </c>
      <c r="I27" s="6">
        <f>8040-H27</f>
        <v>5208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64522</v>
      </c>
      <c r="H28" s="6">
        <v>4009</v>
      </c>
      <c r="I28" s="6">
        <f>25678-H28</f>
        <v>21669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6910</v>
      </c>
      <c r="H29" s="6">
        <v>133</v>
      </c>
      <c r="I29" s="6">
        <f>1906-H29</f>
        <v>1773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74805</v>
      </c>
      <c r="H30" s="6">
        <f>4863+48064</f>
        <v>52927</v>
      </c>
      <c r="I30" s="6">
        <f>70476-H30</f>
        <v>17549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14250</v>
      </c>
      <c r="H31" s="6">
        <v>166</v>
      </c>
      <c r="I31" s="6">
        <f>1634-H31</f>
        <v>1468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31042</v>
      </c>
      <c r="H32" s="6">
        <f>637+20277</f>
        <v>20914</v>
      </c>
      <c r="I32" s="6">
        <f>31493-H32</f>
        <v>10579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12311</v>
      </c>
      <c r="H33" s="6">
        <f>34+669</f>
        <v>703</v>
      </c>
      <c r="I33" s="6">
        <f>6243-H33</f>
        <v>5540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1246</v>
      </c>
      <c r="H34" s="6"/>
      <c r="I34" s="6">
        <v>229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74830</v>
      </c>
      <c r="H35" s="6">
        <v>8774</v>
      </c>
      <c r="I35" s="6">
        <f>24502-H35</f>
        <v>15728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107139</v>
      </c>
      <c r="H36" s="6">
        <f>19146+2620</f>
        <v>21766</v>
      </c>
      <c r="I36" s="6">
        <f>68252-H36</f>
        <v>46486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76820</v>
      </c>
      <c r="H37" s="6">
        <v>15669</v>
      </c>
      <c r="I37" s="6">
        <v>91454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40294</v>
      </c>
      <c r="H38" s="6">
        <f>4106+23383</f>
        <v>27489</v>
      </c>
      <c r="I38" s="6">
        <f>59110-H38</f>
        <v>31621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97097</v>
      </c>
      <c r="H39" s="6">
        <f>21157+3065</f>
        <v>24222</v>
      </c>
      <c r="I39" s="6">
        <f>55914-H39</f>
        <v>31692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1111</v>
      </c>
      <c r="H40" s="6"/>
      <c r="I40" s="6">
        <v>376</v>
      </c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12666</v>
      </c>
      <c r="H41" s="6">
        <v>1388</v>
      </c>
      <c r="I41" s="6">
        <f>5046-H41</f>
        <v>3658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7657</v>
      </c>
      <c r="H42" s="6">
        <v>3167</v>
      </c>
      <c r="I42" s="6">
        <f>5847-H42</f>
        <v>2680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4752</v>
      </c>
      <c r="H43" s="6">
        <v>30</v>
      </c>
      <c r="I43" s="6">
        <f>2933-H43</f>
        <v>2903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42342</v>
      </c>
      <c r="H44" s="6">
        <f>6776+239</f>
        <v>7015</v>
      </c>
      <c r="I44" s="6">
        <f>28397-H44</f>
        <v>21382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1443</v>
      </c>
      <c r="H45" s="6"/>
      <c r="I45" s="6">
        <v>400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59750</v>
      </c>
      <c r="H46" s="6">
        <f>5338+2436</f>
        <v>7774</v>
      </c>
      <c r="I46" s="6">
        <f>23120-H46</f>
        <v>15346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20406</v>
      </c>
      <c r="H47" s="6">
        <v>1025</v>
      </c>
      <c r="I47" s="6">
        <f>19912-H47</f>
        <v>18887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63132</v>
      </c>
      <c r="H48" s="6">
        <f>7051+8073</f>
        <v>15124</v>
      </c>
      <c r="I48" s="6">
        <f>37622-H48</f>
        <v>22498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6813</v>
      </c>
      <c r="H49" s="6">
        <v>362</v>
      </c>
      <c r="I49" s="6">
        <f>5208-H49</f>
        <v>4846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31938</v>
      </c>
      <c r="H50" s="6">
        <v>2767</v>
      </c>
      <c r="I50" s="6">
        <f>22102-H50</f>
        <v>19335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6129</v>
      </c>
      <c r="H51" s="6"/>
      <c r="I51" s="6">
        <v>4576</v>
      </c>
      <c r="J51" s="7"/>
      <c r="K51" s="8"/>
      <c r="L51" s="8"/>
      <c r="M51" s="8"/>
    </row>
    <row r="52" spans="1:13" ht="13.5" customHeight="1" x14ac:dyDescent="0.2">
      <c r="A52" s="16" t="s">
        <v>4</v>
      </c>
      <c r="B52" s="16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1193475</v>
      </c>
      <c r="H52" s="11">
        <f t="shared" ref="H52:I52" si="0">SUM(H15:H51)</f>
        <v>287061</v>
      </c>
      <c r="I52" s="11">
        <f t="shared" si="0"/>
        <v>556140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8"/>
  <sheetViews>
    <sheetView workbookViewId="0">
      <selection activeCell="H20" sqref="H20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H6" s="15" t="s">
        <v>30</v>
      </c>
      <c r="I6" s="15"/>
    </row>
    <row r="7" spans="1:13" x14ac:dyDescent="0.2"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2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2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7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3" t="s">
        <v>32</v>
      </c>
      <c r="E13" s="3" t="s">
        <v>33</v>
      </c>
      <c r="F13" s="3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25738</v>
      </c>
      <c r="H15" s="6">
        <v>2678</v>
      </c>
      <c r="I15" s="6">
        <f>45116-H15</f>
        <v>42438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39636</v>
      </c>
      <c r="H16" s="6">
        <f>2870+535</f>
        <v>3405</v>
      </c>
      <c r="I16" s="6">
        <f>11431-H16</f>
        <v>8026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1484</v>
      </c>
      <c r="H17" s="6"/>
      <c r="I17" s="6">
        <v>571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59859</v>
      </c>
      <c r="H18" s="6">
        <v>2800</v>
      </c>
      <c r="I18" s="6">
        <f>10508-H18</f>
        <v>7708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f>2360+5867</f>
        <v>8227</v>
      </c>
      <c r="H19" s="6">
        <f>6094-5867</f>
        <v>227</v>
      </c>
      <c r="I19" s="6">
        <v>3881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49940</v>
      </c>
      <c r="H20" s="6">
        <f>13397+17467</f>
        <v>30864</v>
      </c>
      <c r="I20" s="6">
        <f>57671-H20</f>
        <v>26807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10807</v>
      </c>
      <c r="H21" s="6">
        <v>9477</v>
      </c>
      <c r="I21" s="6">
        <v>6527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5866</v>
      </c>
      <c r="H22" s="6">
        <v>2790</v>
      </c>
      <c r="I22" s="6">
        <f>6968-H22</f>
        <v>4178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4950</v>
      </c>
      <c r="H23" s="6">
        <v>390</v>
      </c>
      <c r="I23" s="6">
        <v>5345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1979</v>
      </c>
      <c r="H24" s="6">
        <v>1253</v>
      </c>
      <c r="I24" s="6">
        <f>2790-H24</f>
        <v>1537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13005</v>
      </c>
      <c r="H25" s="6"/>
      <c r="I25" s="6">
        <v>5759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79053</v>
      </c>
      <c r="H26" s="6">
        <f>8828+4008</f>
        <v>12836</v>
      </c>
      <c r="I26" s="6">
        <v>18831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7283</v>
      </c>
      <c r="H27" s="6">
        <v>2222</v>
      </c>
      <c r="I27" s="6">
        <f>6559-H27</f>
        <v>4337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60302</v>
      </c>
      <c r="H28" s="6">
        <v>3559</v>
      </c>
      <c r="I28" s="6">
        <f>20333-H28</f>
        <v>16774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6212</v>
      </c>
      <c r="H29" s="6">
        <v>100</v>
      </c>
      <c r="I29" s="6">
        <f>1398-H29</f>
        <v>1298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50200</v>
      </c>
      <c r="H30" s="6">
        <f>4184+37139</f>
        <v>41323</v>
      </c>
      <c r="I30" s="6">
        <f>54588-H30</f>
        <v>13265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13199</v>
      </c>
      <c r="H31" s="6">
        <v>106</v>
      </c>
      <c r="I31" s="6">
        <f>1198-H31</f>
        <v>1092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27555</v>
      </c>
      <c r="H32" s="6">
        <f>551+17551</f>
        <v>18102</v>
      </c>
      <c r="I32" s="6">
        <f>27698-H32</f>
        <v>9596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9201</v>
      </c>
      <c r="H33" s="6">
        <f>63+563</f>
        <v>626</v>
      </c>
      <c r="I33" s="6">
        <f>3986-H33</f>
        <v>3360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853</v>
      </c>
      <c r="H34" s="6"/>
      <c r="I34" s="6">
        <v>142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62893</v>
      </c>
      <c r="H35" s="6">
        <v>10497</v>
      </c>
      <c r="I35" s="6">
        <f>29671-H35</f>
        <v>19174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92095</v>
      </c>
      <c r="H36" s="6">
        <f>17657+2713</f>
        <v>20370</v>
      </c>
      <c r="I36" s="6">
        <f>55823-H36</f>
        <v>35453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60338</v>
      </c>
      <c r="H37" s="6">
        <v>14220</v>
      </c>
      <c r="I37" s="6">
        <v>74981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33912</v>
      </c>
      <c r="H38" s="6">
        <f>3581+20804</f>
        <v>24385</v>
      </c>
      <c r="I38" s="6">
        <f>49549-H38</f>
        <v>25164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96692</v>
      </c>
      <c r="H39" s="6">
        <f>16981+2230</f>
        <v>19211</v>
      </c>
      <c r="I39" s="6">
        <f>45194-H39</f>
        <v>25983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482</v>
      </c>
      <c r="H40" s="6"/>
      <c r="I40" s="6">
        <v>239</v>
      </c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10815</v>
      </c>
      <c r="H41" s="6">
        <v>1084</v>
      </c>
      <c r="I41" s="6">
        <f>4166-H41</f>
        <v>3082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6074</v>
      </c>
      <c r="H42" s="6">
        <v>3137</v>
      </c>
      <c r="I42" s="6">
        <f>4633-H42</f>
        <v>1496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5263</v>
      </c>
      <c r="H43" s="6">
        <v>40</v>
      </c>
      <c r="I43" s="6">
        <f>2776-H43</f>
        <v>2736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27319</v>
      </c>
      <c r="H44" s="6">
        <f>4459+246</f>
        <v>4705</v>
      </c>
      <c r="I44" s="6">
        <f>20864-H44</f>
        <v>16159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973</v>
      </c>
      <c r="H45" s="6"/>
      <c r="I45" s="6">
        <v>499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53909</v>
      </c>
      <c r="H46" s="6">
        <f>5420+2651</f>
        <v>8071</v>
      </c>
      <c r="I46" s="6">
        <f>20437-H46</f>
        <v>12366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15262</v>
      </c>
      <c r="H47" s="6">
        <v>802</v>
      </c>
      <c r="I47" s="6">
        <f>13558-H47</f>
        <v>12756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43837</v>
      </c>
      <c r="H48" s="6">
        <f>7837+2937</f>
        <v>10774</v>
      </c>
      <c r="I48" s="6">
        <f>31791-H48</f>
        <v>21017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5814</v>
      </c>
      <c r="H49" s="6">
        <v>373</v>
      </c>
      <c r="I49" s="6">
        <f>3614-H49</f>
        <v>3241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27598</v>
      </c>
      <c r="H50" s="6">
        <v>2454</v>
      </c>
      <c r="I50" s="6">
        <f>18482-H50</f>
        <v>16028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7115</v>
      </c>
      <c r="H51" s="6"/>
      <c r="I51" s="6">
        <v>3562</v>
      </c>
      <c r="J51" s="7"/>
      <c r="K51" s="8"/>
      <c r="L51" s="8"/>
      <c r="M51" s="8"/>
    </row>
    <row r="52" spans="1:13" ht="13.5" customHeight="1" x14ac:dyDescent="0.2">
      <c r="A52" s="16" t="s">
        <v>4</v>
      </c>
      <c r="B52" s="16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1025740</v>
      </c>
      <c r="H52" s="11">
        <f t="shared" ref="H52:I52" si="0">SUM(H15:H51)</f>
        <v>252881</v>
      </c>
      <c r="I52" s="11">
        <f t="shared" si="0"/>
        <v>455408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8"/>
  <sheetViews>
    <sheetView topLeftCell="A11" workbookViewId="0">
      <selection activeCell="H20" sqref="H20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H6" s="15" t="s">
        <v>30</v>
      </c>
      <c r="I6" s="15"/>
    </row>
    <row r="7" spans="1:13" x14ac:dyDescent="0.2"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2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2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6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3" t="s">
        <v>32</v>
      </c>
      <c r="E13" s="3" t="s">
        <v>33</v>
      </c>
      <c r="F13" s="3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25382</v>
      </c>
      <c r="H15" s="6">
        <v>3186</v>
      </c>
      <c r="I15" s="6">
        <f>44045-H15</f>
        <v>40859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20015</v>
      </c>
      <c r="H16" s="6">
        <f>2995+329</f>
        <v>3324</v>
      </c>
      <c r="I16" s="6">
        <f>10155-H16</f>
        <v>6831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2088</v>
      </c>
      <c r="H17" s="6"/>
      <c r="I17" s="6">
        <v>582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57495</v>
      </c>
      <c r="H18" s="6">
        <v>2639</v>
      </c>
      <c r="I18" s="6">
        <f>9395-H18</f>
        <v>6756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f>2278+5198</f>
        <v>7476</v>
      </c>
      <c r="H19" s="6">
        <f>5587-5198</f>
        <v>389</v>
      </c>
      <c r="I19" s="6">
        <v>3196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50009</v>
      </c>
      <c r="H20" s="6">
        <f>13510+17687</f>
        <v>31197</v>
      </c>
      <c r="I20" s="6">
        <f>57637-H20</f>
        <v>26440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11297</v>
      </c>
      <c r="H21" s="6">
        <v>8848</v>
      </c>
      <c r="I21" s="6">
        <f>15476-H21</f>
        <v>6628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4882</v>
      </c>
      <c r="H22" s="6">
        <v>2709</v>
      </c>
      <c r="I22" s="6">
        <f>6419-H22</f>
        <v>3710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4308</v>
      </c>
      <c r="H23" s="6">
        <v>381</v>
      </c>
      <c r="I23" s="6">
        <f>6687-H23</f>
        <v>6306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2188</v>
      </c>
      <c r="H24" s="6">
        <v>1220</v>
      </c>
      <c r="I24" s="6">
        <f>2997-H24</f>
        <v>1777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13040</v>
      </c>
      <c r="H25" s="6"/>
      <c r="I25" s="6">
        <v>5736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72889</v>
      </c>
      <c r="H26" s="6">
        <f>9206+3316</f>
        <v>12522</v>
      </c>
      <c r="I26" s="6">
        <f>37554-H26-I25</f>
        <v>19296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9055</v>
      </c>
      <c r="H27" s="6">
        <v>2271</v>
      </c>
      <c r="I27" s="6">
        <f>6989-H27</f>
        <v>4718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64304</v>
      </c>
      <c r="H28" s="6">
        <v>4631</v>
      </c>
      <c r="I28" s="6">
        <f>22331-H28</f>
        <v>17700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5101</v>
      </c>
      <c r="H29" s="6">
        <v>110</v>
      </c>
      <c r="I29" s="6">
        <f>1232-H29</f>
        <v>1122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65181</v>
      </c>
      <c r="H30" s="6">
        <f>4906+35210</f>
        <v>40116</v>
      </c>
      <c r="I30" s="6">
        <f>51735-H30</f>
        <v>11619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11728</v>
      </c>
      <c r="H31" s="6"/>
      <c r="I31" s="6">
        <v>964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31789</v>
      </c>
      <c r="H32" s="6">
        <f>547+19688</f>
        <v>20235</v>
      </c>
      <c r="I32" s="6">
        <f>28338-H32</f>
        <v>8103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9909</v>
      </c>
      <c r="H33" s="6">
        <f>65+492</f>
        <v>557</v>
      </c>
      <c r="I33" s="6">
        <f>4229-H33</f>
        <v>3672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938</v>
      </c>
      <c r="H34" s="6"/>
      <c r="I34" s="6">
        <v>68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55831</v>
      </c>
      <c r="H35" s="6">
        <v>7877</v>
      </c>
      <c r="I35" s="6">
        <f>20469-H35</f>
        <v>12592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97255</v>
      </c>
      <c r="H36" s="6">
        <f>19411+2071</f>
        <v>21482</v>
      </c>
      <c r="I36" s="6">
        <f>56522-H36</f>
        <v>35040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79885</v>
      </c>
      <c r="H37" s="6">
        <v>15899</v>
      </c>
      <c r="I37" s="6">
        <f>91507-H37</f>
        <v>75608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38837</v>
      </c>
      <c r="H38" s="6">
        <f>4170+23291</f>
        <v>27461</v>
      </c>
      <c r="I38" s="6">
        <f>51690-H38</f>
        <v>24229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98292</v>
      </c>
      <c r="H39" s="6">
        <f>17757+3303</f>
        <v>21060</v>
      </c>
      <c r="I39" s="6">
        <f>48187-H39</f>
        <v>27127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1326</v>
      </c>
      <c r="H40" s="6"/>
      <c r="I40" s="6">
        <v>248</v>
      </c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12349</v>
      </c>
      <c r="H41" s="6">
        <v>1095</v>
      </c>
      <c r="I41" s="6">
        <f>4031-H41</f>
        <v>2936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5522</v>
      </c>
      <c r="H42" s="6">
        <v>2163</v>
      </c>
      <c r="I42" s="6">
        <f>4116-H42</f>
        <v>1953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5398</v>
      </c>
      <c r="H43" s="6">
        <v>40</v>
      </c>
      <c r="I43" s="6">
        <f>2902-H43</f>
        <v>2862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28965</v>
      </c>
      <c r="H44" s="6">
        <f>8524+199</f>
        <v>8723</v>
      </c>
      <c r="I44" s="6">
        <f>24818-H44</f>
        <v>16095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1060</v>
      </c>
      <c r="H45" s="6"/>
      <c r="I45" s="6">
        <v>454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54646</v>
      </c>
      <c r="H46" s="6">
        <f>7151+4615</f>
        <v>11766</v>
      </c>
      <c r="I46" s="6">
        <f>24291-H46</f>
        <v>12525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17892</v>
      </c>
      <c r="H47" s="6">
        <v>1016</v>
      </c>
      <c r="I47" s="6">
        <f>14854-H47</f>
        <v>13838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58738</v>
      </c>
      <c r="H48" s="6">
        <f>6757+4061</f>
        <v>10818</v>
      </c>
      <c r="I48" s="6">
        <f>29366-H48</f>
        <v>18548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7037</v>
      </c>
      <c r="H49" s="6">
        <v>430</v>
      </c>
      <c r="I49" s="6">
        <f>3785-H49</f>
        <v>3355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25964</v>
      </c>
      <c r="H50" s="6">
        <v>2257</v>
      </c>
      <c r="I50" s="6">
        <f>15808-H50</f>
        <v>13551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7953</v>
      </c>
      <c r="H51" s="6"/>
      <c r="I51" s="6">
        <v>3648</v>
      </c>
      <c r="J51" s="7"/>
      <c r="K51" s="8"/>
      <c r="L51" s="8"/>
      <c r="M51" s="8"/>
    </row>
    <row r="52" spans="1:13" ht="13.5" customHeight="1" x14ac:dyDescent="0.2">
      <c r="A52" s="16" t="s">
        <v>4</v>
      </c>
      <c r="B52" s="16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1066024</v>
      </c>
      <c r="H52" s="11">
        <f t="shared" ref="H52:I52" si="0">SUM(H15:H51)</f>
        <v>266422</v>
      </c>
      <c r="I52" s="11">
        <f t="shared" si="0"/>
        <v>440692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8"/>
  <sheetViews>
    <sheetView workbookViewId="0">
      <selection activeCell="G52" sqref="G52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H6" s="15" t="s">
        <v>30</v>
      </c>
      <c r="I6" s="15"/>
    </row>
    <row r="7" spans="1:13" x14ac:dyDescent="0.2"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2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2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8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3" t="s">
        <v>32</v>
      </c>
      <c r="E13" s="3" t="s">
        <v>33</v>
      </c>
      <c r="F13" s="3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23952</v>
      </c>
      <c r="H15" s="6">
        <v>1908</v>
      </c>
      <c r="I15" s="6">
        <f>35572-H15</f>
        <v>33664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14371</v>
      </c>
      <c r="H16" s="6">
        <f>2034+320</f>
        <v>2354</v>
      </c>
      <c r="I16" s="6">
        <f>7090-H16</f>
        <v>4736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2632</v>
      </c>
      <c r="H17" s="6"/>
      <c r="I17" s="6">
        <v>573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54438</v>
      </c>
      <c r="H18" s="6">
        <v>2817</v>
      </c>
      <c r="I18" s="6">
        <f>8608-H18</f>
        <v>5791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7008</v>
      </c>
      <c r="H19" s="6">
        <v>186</v>
      </c>
      <c r="I19" s="6">
        <f>2776-H19</f>
        <v>2590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45890</v>
      </c>
      <c r="H20" s="6">
        <f>12077+17539</f>
        <v>29616</v>
      </c>
      <c r="I20" s="6">
        <f>49822-H20</f>
        <v>20206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9649</v>
      </c>
      <c r="H21" s="6">
        <v>6399</v>
      </c>
      <c r="I21" s="6">
        <f>10993-H21</f>
        <v>4594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4913</v>
      </c>
      <c r="H22" s="6">
        <v>1460</v>
      </c>
      <c r="I22" s="6">
        <f>3304-H22</f>
        <v>1844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4911</v>
      </c>
      <c r="H23" s="6">
        <v>410</v>
      </c>
      <c r="I23" s="6">
        <f>4014-H23</f>
        <v>3604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2034</v>
      </c>
      <c r="H24" s="6">
        <v>717</v>
      </c>
      <c r="I24" s="6">
        <f>2326-H24</f>
        <v>1609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10495</v>
      </c>
      <c r="H25" s="6"/>
      <c r="I25" s="6">
        <v>4686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62189</v>
      </c>
      <c r="H26" s="6">
        <f>8831+3057</f>
        <v>11888</v>
      </c>
      <c r="I26" s="6">
        <f>31795-H26-I25</f>
        <v>15221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8050</v>
      </c>
      <c r="H27" s="6">
        <v>1134</v>
      </c>
      <c r="I27" s="6">
        <f>4316-H27</f>
        <v>3182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49448</v>
      </c>
      <c r="H28" s="6">
        <v>3460</v>
      </c>
      <c r="I28" s="6">
        <f>14045-H28</f>
        <v>10585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4298</v>
      </c>
      <c r="H29" s="6">
        <v>121</v>
      </c>
      <c r="I29" s="6">
        <f>666-H29</f>
        <v>545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57821</v>
      </c>
      <c r="H30" s="6">
        <f>2007+44602</f>
        <v>46609</v>
      </c>
      <c r="I30" s="6">
        <f>56337-H30</f>
        <v>9728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8606</v>
      </c>
      <c r="H31" s="6"/>
      <c r="I31" s="6">
        <v>556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23591</v>
      </c>
      <c r="H32" s="6">
        <f>515+20047</f>
        <v>20562</v>
      </c>
      <c r="I32" s="6">
        <f>27661-H32</f>
        <v>7099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9296</v>
      </c>
      <c r="H33" s="6">
        <f>163+198</f>
        <v>361</v>
      </c>
      <c r="I33" s="6">
        <f>2820-H33</f>
        <v>2459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864</v>
      </c>
      <c r="H34" s="6"/>
      <c r="I34" s="6">
        <v>15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44383</v>
      </c>
      <c r="H35" s="6">
        <v>8676</v>
      </c>
      <c r="I35" s="6">
        <f>20426-H35</f>
        <v>11750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84931</v>
      </c>
      <c r="H36" s="6">
        <f>16594+1051</f>
        <v>17645</v>
      </c>
      <c r="I36" s="6">
        <f>40374-H36</f>
        <v>22729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66710</v>
      </c>
      <c r="H37" s="6">
        <v>14985</v>
      </c>
      <c r="I37" s="6">
        <f>75432-H37</f>
        <v>60447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36186</v>
      </c>
      <c r="H38" s="6">
        <f>4209+21416</f>
        <v>25625</v>
      </c>
      <c r="I38" s="6">
        <f>39873-H38</f>
        <v>14248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85118</v>
      </c>
      <c r="H39" s="6">
        <f>14194+3382</f>
        <v>17576</v>
      </c>
      <c r="I39" s="6">
        <f>37889-H39</f>
        <v>20313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1816</v>
      </c>
      <c r="H40" s="6"/>
      <c r="I40" s="6">
        <v>92</v>
      </c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8065</v>
      </c>
      <c r="H41" s="6">
        <v>607</v>
      </c>
      <c r="I41" s="6">
        <f>2555-H41</f>
        <v>1948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5417</v>
      </c>
      <c r="H42" s="6">
        <v>1245</v>
      </c>
      <c r="I42" s="6">
        <f>1962-H42</f>
        <v>717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5110</v>
      </c>
      <c r="H43" s="6">
        <v>40</v>
      </c>
      <c r="I43" s="6">
        <f>1535-H43</f>
        <v>1495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31606</v>
      </c>
      <c r="H44" s="6">
        <f>7123+215</f>
        <v>7338</v>
      </c>
      <c r="I44" s="6">
        <f>20577-H44</f>
        <v>13239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1032</v>
      </c>
      <c r="H45" s="6"/>
      <c r="I45" s="6">
        <v>223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57503</v>
      </c>
      <c r="H46" s="6">
        <f>6593+3081</f>
        <v>9674</v>
      </c>
      <c r="I46" s="6">
        <f>18901-H46</f>
        <v>9227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17763</v>
      </c>
      <c r="H47" s="6">
        <v>949</v>
      </c>
      <c r="I47" s="6">
        <f>10545-H47</f>
        <v>9596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67785</v>
      </c>
      <c r="H48" s="6">
        <f>6664+3209</f>
        <v>9873</v>
      </c>
      <c r="I48" s="6">
        <f>26310-H48</f>
        <v>16437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5563</v>
      </c>
      <c r="H49" s="6">
        <v>409</v>
      </c>
      <c r="I49" s="6">
        <f>2114-H49</f>
        <v>1705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24283</v>
      </c>
      <c r="H50" s="6">
        <v>2017</v>
      </c>
      <c r="I50" s="6">
        <f>12048-H50</f>
        <v>10031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6057</v>
      </c>
      <c r="H51" s="6"/>
      <c r="I51" s="6">
        <v>2652</v>
      </c>
      <c r="J51" s="7"/>
      <c r="K51" s="8"/>
      <c r="L51" s="8"/>
      <c r="M51" s="8"/>
    </row>
    <row r="52" spans="1:13" ht="13.5" customHeight="1" x14ac:dyDescent="0.2">
      <c r="A52" s="16" t="s">
        <v>4</v>
      </c>
      <c r="B52" s="16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953784</v>
      </c>
      <c r="H52" s="11">
        <f t="shared" ref="H52:I52" si="0">SUM(H15:H51)</f>
        <v>246661</v>
      </c>
      <c r="I52" s="11">
        <f t="shared" si="0"/>
        <v>330136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8"/>
  <sheetViews>
    <sheetView topLeftCell="A23" workbookViewId="0">
      <selection activeCell="H52" sqref="H52:I52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H6" s="15" t="s">
        <v>30</v>
      </c>
      <c r="I6" s="15"/>
    </row>
    <row r="7" spans="1:13" x14ac:dyDescent="0.2"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2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2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67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3" t="s">
        <v>32</v>
      </c>
      <c r="E13" s="3" t="s">
        <v>33</v>
      </c>
      <c r="F13" s="3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24278</v>
      </c>
      <c r="H15" s="6">
        <v>1374</v>
      </c>
      <c r="I15" s="6">
        <v>28198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14370</v>
      </c>
      <c r="H16" s="6">
        <v>2045</v>
      </c>
      <c r="I16" s="6">
        <v>4874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2265</v>
      </c>
      <c r="H17" s="6"/>
      <c r="I17" s="6">
        <v>624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48066</v>
      </c>
      <c r="H18" s="6">
        <v>2757</v>
      </c>
      <c r="I18" s="6">
        <v>4643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6936</v>
      </c>
      <c r="H19" s="6">
        <v>154</v>
      </c>
      <c r="I19" s="6">
        <v>1966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44904</v>
      </c>
      <c r="H20" s="6">
        <v>22089</v>
      </c>
      <c r="I20" s="6">
        <v>17331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9777</v>
      </c>
      <c r="H21" s="6">
        <v>12600</v>
      </c>
      <c r="I21" s="6">
        <v>2896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5102</v>
      </c>
      <c r="H22" s="6">
        <v>1070</v>
      </c>
      <c r="I22" s="6">
        <v>1355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6541</v>
      </c>
      <c r="H23" s="6">
        <v>556</v>
      </c>
      <c r="I23" s="6">
        <v>1676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2439</v>
      </c>
      <c r="H24" s="6">
        <v>381</v>
      </c>
      <c r="I24" s="6">
        <v>1335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9085</v>
      </c>
      <c r="H25" s="6"/>
      <c r="I25" s="6">
        <v>2626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51328</v>
      </c>
      <c r="H26" s="6">
        <v>10672</v>
      </c>
      <c r="I26" s="6">
        <v>11314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9674</v>
      </c>
      <c r="H27" s="6">
        <v>624</v>
      </c>
      <c r="I27" s="6">
        <v>1936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38032</v>
      </c>
      <c r="H28" s="6">
        <v>3694</v>
      </c>
      <c r="I28" s="6">
        <v>8036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4348</v>
      </c>
      <c r="H29" s="6">
        <v>170</v>
      </c>
      <c r="I29" s="6">
        <v>500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49555</v>
      </c>
      <c r="H30" s="6">
        <v>44127</v>
      </c>
      <c r="I30" s="6">
        <v>7610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7788</v>
      </c>
      <c r="H31" s="6"/>
      <c r="I31" s="6">
        <v>561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24493</v>
      </c>
      <c r="H32" s="6">
        <v>15503</v>
      </c>
      <c r="I32" s="6">
        <v>3924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10586</v>
      </c>
      <c r="H33" s="6">
        <v>366</v>
      </c>
      <c r="I33" s="6">
        <v>1134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1016</v>
      </c>
      <c r="H34" s="6"/>
      <c r="I34" s="6">
        <v>15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43073</v>
      </c>
      <c r="H35" s="6">
        <v>3446</v>
      </c>
      <c r="I35" s="6">
        <v>8342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79778</v>
      </c>
      <c r="H36" s="6">
        <v>15958</v>
      </c>
      <c r="I36" s="6">
        <v>16612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53138</v>
      </c>
      <c r="H37" s="6">
        <v>16653</v>
      </c>
      <c r="I37" s="6">
        <v>41251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29114</v>
      </c>
      <c r="H38" s="6">
        <v>20994</v>
      </c>
      <c r="I38" s="6">
        <v>11773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66122</v>
      </c>
      <c r="H39" s="6">
        <v>18288</v>
      </c>
      <c r="I39" s="6">
        <v>17114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2723</v>
      </c>
      <c r="H40" s="6"/>
      <c r="I40" s="6">
        <v>33</v>
      </c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6444</v>
      </c>
      <c r="H41" s="6">
        <v>314</v>
      </c>
      <c r="I41" s="6">
        <v>1379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5828</v>
      </c>
      <c r="H42" s="6">
        <v>2640</v>
      </c>
      <c r="I42" s="6">
        <v>710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7236</v>
      </c>
      <c r="H43" s="6">
        <v>50</v>
      </c>
      <c r="I43" s="6">
        <v>718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22257</v>
      </c>
      <c r="H44" s="6">
        <v>6995</v>
      </c>
      <c r="I44" s="6">
        <v>9897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1679</v>
      </c>
      <c r="H45" s="6"/>
      <c r="I45" s="6">
        <v>84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32170</v>
      </c>
      <c r="H46" s="6">
        <v>10292</v>
      </c>
      <c r="I46" s="6">
        <v>9581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15602</v>
      </c>
      <c r="H47" s="6">
        <v>1737</v>
      </c>
      <c r="I47" s="6">
        <v>6163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44358</v>
      </c>
      <c r="H48" s="6">
        <v>7304</v>
      </c>
      <c r="I48" s="6">
        <v>12201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6384</v>
      </c>
      <c r="H49" s="6">
        <v>509</v>
      </c>
      <c r="I49" s="6">
        <v>1211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21268</v>
      </c>
      <c r="H50" s="6">
        <v>2112</v>
      </c>
      <c r="I50" s="6">
        <v>8178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6284</v>
      </c>
      <c r="H51" s="6"/>
      <c r="I51" s="6">
        <v>1546</v>
      </c>
      <c r="J51" s="7"/>
      <c r="K51" s="8"/>
      <c r="L51" s="8"/>
      <c r="M51" s="8"/>
    </row>
    <row r="52" spans="1:13" ht="13.5" customHeight="1" x14ac:dyDescent="0.2">
      <c r="A52" s="16" t="s">
        <v>4</v>
      </c>
      <c r="B52" s="16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814041</v>
      </c>
      <c r="H52" s="11">
        <f t="shared" ref="H52:I52" si="0">SUM(H15:H51)</f>
        <v>225474</v>
      </c>
      <c r="I52" s="11">
        <f t="shared" si="0"/>
        <v>249347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8"/>
  <sheetViews>
    <sheetView topLeftCell="A2" workbookViewId="0">
      <selection activeCell="H20" sqref="H20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H6" s="15" t="s">
        <v>30</v>
      </c>
      <c r="I6" s="15"/>
    </row>
    <row r="7" spans="1:13" x14ac:dyDescent="0.2"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2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2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68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3" t="s">
        <v>32</v>
      </c>
      <c r="E13" s="3" t="s">
        <v>33</v>
      </c>
      <c r="F13" s="3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22395</v>
      </c>
      <c r="H15" s="6">
        <v>1183</v>
      </c>
      <c r="I15" s="6">
        <v>23161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12047</v>
      </c>
      <c r="H16" s="6">
        <v>1557</v>
      </c>
      <c r="I16" s="6">
        <v>3163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2171</v>
      </c>
      <c r="H17" s="6"/>
      <c r="I17" s="6">
        <v>535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36603</v>
      </c>
      <c r="H18" s="6">
        <v>1773</v>
      </c>
      <c r="I18" s="6">
        <v>4937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6403</v>
      </c>
      <c r="H19" s="6">
        <v>460</v>
      </c>
      <c r="I19" s="6">
        <v>1635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41505</v>
      </c>
      <c r="H20" s="6">
        <v>14202</v>
      </c>
      <c r="I20" s="6">
        <v>12475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10076</v>
      </c>
      <c r="H21" s="6">
        <v>5322</v>
      </c>
      <c r="I21" s="6">
        <v>1854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5872</v>
      </c>
      <c r="H22" s="6">
        <v>804</v>
      </c>
      <c r="I22" s="6">
        <v>853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7130</v>
      </c>
      <c r="H23" s="6">
        <v>502</v>
      </c>
      <c r="I23" s="6">
        <v>1095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2695</v>
      </c>
      <c r="H24" s="6">
        <v>167</v>
      </c>
      <c r="I24" s="6">
        <v>1014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7977</v>
      </c>
      <c r="H25" s="6"/>
      <c r="I25" s="6">
        <v>1384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46365</v>
      </c>
      <c r="H26" s="6">
        <v>10165</v>
      </c>
      <c r="I26" s="6">
        <v>9577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9824</v>
      </c>
      <c r="H27" s="6">
        <v>337</v>
      </c>
      <c r="I27" s="6">
        <v>1661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46014</v>
      </c>
      <c r="H28" s="6">
        <v>3581</v>
      </c>
      <c r="I28" s="6">
        <v>4492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3650</v>
      </c>
      <c r="H29" s="6">
        <v>164</v>
      </c>
      <c r="I29" s="6">
        <v>376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56673</v>
      </c>
      <c r="H30" s="6">
        <v>39579</v>
      </c>
      <c r="I30" s="6">
        <v>5981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6185</v>
      </c>
      <c r="H31" s="6"/>
      <c r="I31" s="6">
        <v>534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19483</v>
      </c>
      <c r="H32" s="6">
        <v>12057</v>
      </c>
      <c r="I32" s="6">
        <v>1806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9617</v>
      </c>
      <c r="H33" s="6">
        <v>448</v>
      </c>
      <c r="I33" s="6">
        <v>865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944</v>
      </c>
      <c r="H34" s="6"/>
      <c r="I34" s="6">
        <v>13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44687</v>
      </c>
      <c r="H35" s="6">
        <v>11522</v>
      </c>
      <c r="I35" s="6">
        <v>5544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86638</v>
      </c>
      <c r="H36" s="6">
        <v>15454</v>
      </c>
      <c r="I36" s="6">
        <v>12538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52503</v>
      </c>
      <c r="H37" s="6">
        <v>16667</v>
      </c>
      <c r="I37" s="6">
        <v>27096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27691</v>
      </c>
      <c r="H38" s="6">
        <v>17983</v>
      </c>
      <c r="I38" s="6">
        <v>7920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61568</v>
      </c>
      <c r="H39" s="6">
        <v>14000</v>
      </c>
      <c r="I39" s="6">
        <v>4947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2783</v>
      </c>
      <c r="H40" s="6"/>
      <c r="I40" s="6">
        <v>35</v>
      </c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5190</v>
      </c>
      <c r="H41" s="6">
        <v>62</v>
      </c>
      <c r="I41" s="6">
        <v>596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4401</v>
      </c>
      <c r="H42" s="6">
        <v>1342</v>
      </c>
      <c r="I42" s="6">
        <v>573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5868</v>
      </c>
      <c r="H43" s="6">
        <v>60</v>
      </c>
      <c r="I43" s="6">
        <v>529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29413</v>
      </c>
      <c r="H44" s="6">
        <v>5678</v>
      </c>
      <c r="I44" s="6">
        <v>7173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2079</v>
      </c>
      <c r="H45" s="6"/>
      <c r="I45" s="6">
        <v>84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38479</v>
      </c>
      <c r="H46" s="6">
        <v>12408</v>
      </c>
      <c r="I46" s="6">
        <v>7749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15795</v>
      </c>
      <c r="H47" s="6">
        <v>1381</v>
      </c>
      <c r="I47" s="6">
        <v>4520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43828</v>
      </c>
      <c r="H48" s="6">
        <v>6648</v>
      </c>
      <c r="I48" s="6">
        <v>10761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5681</v>
      </c>
      <c r="H49" s="6">
        <v>422</v>
      </c>
      <c r="I49" s="6">
        <v>634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17942</v>
      </c>
      <c r="H50" s="6">
        <v>1701</v>
      </c>
      <c r="I50" s="6">
        <v>4256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6287</v>
      </c>
      <c r="H51" s="6"/>
      <c r="I51" s="6">
        <v>1334</v>
      </c>
      <c r="J51" s="7"/>
      <c r="K51" s="8"/>
      <c r="L51" s="8"/>
      <c r="M51" s="8"/>
    </row>
    <row r="52" spans="1:13" ht="13.5" customHeight="1" x14ac:dyDescent="0.2">
      <c r="A52" s="16" t="s">
        <v>4</v>
      </c>
      <c r="B52" s="16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804462</v>
      </c>
      <c r="H52" s="11">
        <f t="shared" ref="H52:I52" si="0">SUM(H15:H51)</f>
        <v>197629</v>
      </c>
      <c r="I52" s="11">
        <f t="shared" si="0"/>
        <v>173700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8"/>
  <sheetViews>
    <sheetView topLeftCell="A22" workbookViewId="0">
      <selection activeCell="C32" sqref="C32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15" t="s">
        <v>39</v>
      </c>
      <c r="I1" s="15"/>
    </row>
    <row r="2" spans="1:13" x14ac:dyDescent="0.2">
      <c r="H2" s="15" t="s">
        <v>26</v>
      </c>
      <c r="I2" s="15"/>
    </row>
    <row r="3" spans="1:13" x14ac:dyDescent="0.2">
      <c r="H3" s="15" t="s">
        <v>27</v>
      </c>
      <c r="I3" s="15"/>
    </row>
    <row r="4" spans="1:13" x14ac:dyDescent="0.2">
      <c r="H4" s="15" t="s">
        <v>28</v>
      </c>
      <c r="I4" s="15"/>
    </row>
    <row r="5" spans="1:13" x14ac:dyDescent="0.2">
      <c r="H5" s="15" t="s">
        <v>29</v>
      </c>
      <c r="I5" s="15"/>
    </row>
    <row r="6" spans="1:13" x14ac:dyDescent="0.2">
      <c r="H6" s="15" t="s">
        <v>30</v>
      </c>
      <c r="I6" s="15"/>
    </row>
    <row r="7" spans="1:13" x14ac:dyDescent="0.2">
      <c r="H7" s="15" t="s">
        <v>3</v>
      </c>
      <c r="I7" s="15"/>
    </row>
    <row r="9" spans="1:13" ht="12.75" customHeight="1" x14ac:dyDescent="0.2">
      <c r="A9" s="17" t="s">
        <v>31</v>
      </c>
      <c r="B9" s="17"/>
      <c r="C9" s="17"/>
      <c r="D9" s="17"/>
      <c r="E9" s="17"/>
      <c r="F9" s="17"/>
      <c r="G9" s="17"/>
      <c r="H9" s="17"/>
      <c r="I9" s="17"/>
      <c r="J9" s="2"/>
    </row>
    <row r="10" spans="1:13" ht="30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2"/>
    </row>
    <row r="12" spans="1:13" x14ac:dyDescent="0.2">
      <c r="A12" s="18" t="s">
        <v>0</v>
      </c>
      <c r="B12" s="21" t="s">
        <v>1</v>
      </c>
      <c r="C12" s="22" t="s">
        <v>2</v>
      </c>
      <c r="D12" s="21" t="s">
        <v>9</v>
      </c>
      <c r="E12" s="21"/>
      <c r="F12" s="21"/>
      <c r="G12" s="21"/>
      <c r="H12" s="21"/>
      <c r="I12" s="21"/>
    </row>
    <row r="13" spans="1:13" x14ac:dyDescent="0.2">
      <c r="A13" s="19"/>
      <c r="B13" s="21"/>
      <c r="C13" s="23"/>
      <c r="D13" s="3" t="s">
        <v>32</v>
      </c>
      <c r="E13" s="3" t="s">
        <v>33</v>
      </c>
      <c r="F13" s="3" t="s">
        <v>34</v>
      </c>
      <c r="G13" s="21" t="s">
        <v>35</v>
      </c>
      <c r="H13" s="21"/>
      <c r="I13" s="21"/>
    </row>
    <row r="14" spans="1:13" ht="28.5" customHeight="1" x14ac:dyDescent="0.2">
      <c r="A14" s="20"/>
      <c r="B14" s="21"/>
      <c r="C14" s="24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22156</v>
      </c>
      <c r="H15" s="6">
        <v>1249</v>
      </c>
      <c r="I15" s="6">
        <f>25062-H15</f>
        <v>23813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13168</v>
      </c>
      <c r="H16" s="6">
        <f>754+244</f>
        <v>998</v>
      </c>
      <c r="I16" s="6">
        <f>4431-H16</f>
        <v>3433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2889</v>
      </c>
      <c r="H17" s="6"/>
      <c r="I17" s="6">
        <v>435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30249</v>
      </c>
      <c r="H18" s="6">
        <v>1299</v>
      </c>
      <c r="I18" s="6">
        <f>3398-H18</f>
        <v>2099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5587</v>
      </c>
      <c r="H19" s="6">
        <v>337</v>
      </c>
      <c r="I19" s="6">
        <f>1399-H19</f>
        <v>1062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38889</v>
      </c>
      <c r="H20" s="6">
        <f>3501+8430</f>
        <v>11931</v>
      </c>
      <c r="I20" s="6">
        <f>22220-H20</f>
        <v>10289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9988</v>
      </c>
      <c r="H21" s="6">
        <f>3470+505</f>
        <v>3975</v>
      </c>
      <c r="I21" s="6">
        <v>1208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5951</v>
      </c>
      <c r="H22" s="6">
        <v>367</v>
      </c>
      <c r="I22" s="6">
        <f>1238-H22</f>
        <v>871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8088</v>
      </c>
      <c r="H23" s="6">
        <f>295+235</f>
        <v>530</v>
      </c>
      <c r="I23" s="6">
        <v>547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3825</v>
      </c>
      <c r="H24" s="6">
        <v>103</v>
      </c>
      <c r="I24" s="6">
        <f>932-103</f>
        <v>829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8638</v>
      </c>
      <c r="H25" s="6"/>
      <c r="I25" s="6">
        <v>1814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45209</v>
      </c>
      <c r="H26" s="6">
        <f>9045+326</f>
        <v>9371</v>
      </c>
      <c r="I26" s="6">
        <v>7820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13660</v>
      </c>
      <c r="H27" s="6">
        <v>473</v>
      </c>
      <c r="I27" s="6">
        <f>1762-H27</f>
        <v>1289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44185</v>
      </c>
      <c r="H28" s="6">
        <v>4112</v>
      </c>
      <c r="I28" s="6">
        <f>10326-H28</f>
        <v>6214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4004</v>
      </c>
      <c r="H29" s="6">
        <v>186</v>
      </c>
      <c r="I29" s="6">
        <f>479-H29</f>
        <v>293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51846</v>
      </c>
      <c r="H30" s="6">
        <f>2221+39123</f>
        <v>41344</v>
      </c>
      <c r="I30" s="6">
        <f>46137-H30</f>
        <v>4793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5806</v>
      </c>
      <c r="H31" s="6"/>
      <c r="I31" s="6">
        <v>663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22708</v>
      </c>
      <c r="H32" s="6">
        <f>1315+9761</f>
        <v>11076</v>
      </c>
      <c r="I32" s="6">
        <f>11374-H32</f>
        <v>298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8780</v>
      </c>
      <c r="H33" s="6">
        <f>148+346</f>
        <v>494</v>
      </c>
      <c r="I33" s="6">
        <f>1555-H33</f>
        <v>1061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996</v>
      </c>
      <c r="H34" s="6"/>
      <c r="I34" s="6">
        <v>13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43310</v>
      </c>
      <c r="H35" s="6">
        <v>8212</v>
      </c>
      <c r="I35" s="6">
        <f>16014-H35</f>
        <v>7802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82834</v>
      </c>
      <c r="H36" s="6">
        <f>19015+173</f>
        <v>19188</v>
      </c>
      <c r="I36" s="6">
        <f>26555-H36</f>
        <v>7367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49397</v>
      </c>
      <c r="H37" s="6">
        <f>5743+15209</f>
        <v>20952</v>
      </c>
      <c r="I37" s="6">
        <v>24248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25931</v>
      </c>
      <c r="H38" s="6">
        <f>4203+12001</f>
        <v>16204</v>
      </c>
      <c r="I38" s="6">
        <f>21533-H38</f>
        <v>5329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57196</v>
      </c>
      <c r="H39" s="6">
        <f>12821+1205</f>
        <v>14026</v>
      </c>
      <c r="I39" s="6">
        <f>19542-H39</f>
        <v>5516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2940</v>
      </c>
      <c r="H40" s="6"/>
      <c r="I40" s="6">
        <v>35</v>
      </c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6306</v>
      </c>
      <c r="H41" s="6">
        <v>99</v>
      </c>
      <c r="I41" s="6">
        <f>525-H41</f>
        <v>426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5457</v>
      </c>
      <c r="H42" s="6">
        <v>1403</v>
      </c>
      <c r="I42" s="6">
        <f>2223-H42</f>
        <v>820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7487</v>
      </c>
      <c r="H43" s="6"/>
      <c r="I43" s="6">
        <v>559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30446</v>
      </c>
      <c r="H44" s="6">
        <f>5336+121</f>
        <v>5457</v>
      </c>
      <c r="I44" s="6">
        <f>12308-H44</f>
        <v>6851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1661</v>
      </c>
      <c r="H45" s="6"/>
      <c r="I45" s="6">
        <v>117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46142</v>
      </c>
      <c r="H46" s="6">
        <f>8521+4477</f>
        <v>12998</v>
      </c>
      <c r="I46" s="6">
        <f>20498-H46</f>
        <v>7500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17700</v>
      </c>
      <c r="H47" s="6">
        <v>1483</v>
      </c>
      <c r="I47" s="6">
        <f>4688-H47</f>
        <v>3205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45628</v>
      </c>
      <c r="H48" s="6">
        <v>6205</v>
      </c>
      <c r="I48" s="6">
        <f>15044-H48</f>
        <v>8839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6544</v>
      </c>
      <c r="H49" s="6">
        <v>498</v>
      </c>
      <c r="I49" s="6">
        <f>893-H49</f>
        <v>395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17306</v>
      </c>
      <c r="H50" s="6">
        <v>1462</v>
      </c>
      <c r="I50" s="6">
        <f>5054-H50</f>
        <v>3592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6951</v>
      </c>
      <c r="H51" s="6"/>
      <c r="I51" s="6">
        <v>1585</v>
      </c>
      <c r="J51" s="7"/>
      <c r="K51" s="8"/>
      <c r="L51" s="8"/>
      <c r="M51" s="8"/>
    </row>
    <row r="52" spans="1:13" ht="13.5" customHeight="1" x14ac:dyDescent="0.2">
      <c r="A52" s="16" t="s">
        <v>4</v>
      </c>
      <c r="B52" s="16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799858</v>
      </c>
      <c r="H52" s="11">
        <f t="shared" ref="H52:I52" si="0">SUM(H15:H51)</f>
        <v>196032</v>
      </c>
      <c r="I52" s="11">
        <f t="shared" si="0"/>
        <v>153030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2022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2021-03-04T16:01:59Z</cp:lastPrinted>
  <dcterms:created xsi:type="dcterms:W3CDTF">2010-03-12T06:02:23Z</dcterms:created>
  <dcterms:modified xsi:type="dcterms:W3CDTF">2023-01-19T08:41:33Z</dcterms:modified>
</cp:coreProperties>
</file>