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5709F3DA-A1B6-4446-9A56-5A9E6EBD0B59}" xr6:coauthVersionLast="46" xr6:coauthVersionMax="46" xr10:uidLastSave="{00000000-0000-0000-0000-000000000000}"/>
  <bookViews>
    <workbookView xWindow="14520" yWindow="45" windowWidth="13350" windowHeight="15600" tabRatio="820" xr2:uid="{00000000-000D-0000-FFFF-FFFF00000000}"/>
  </bookViews>
  <sheets>
    <sheet name="2023" sheetId="42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</sheets>
  <calcPr calcId="191029" refMode="R1C1"/>
</workbook>
</file>

<file path=xl/calcChain.xml><?xml version="1.0" encoding="utf-8"?>
<calcChain xmlns="http://schemas.openxmlformats.org/spreadsheetml/2006/main">
  <c r="H15" i="41" l="1"/>
  <c r="I16" i="42" l="1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I41" i="36"/>
  <c r="I42" i="36"/>
  <c r="I43" i="36"/>
  <c r="I44" i="36"/>
  <c r="I46" i="36"/>
  <c r="I47" i="36"/>
  <c r="I48" i="36"/>
  <c r="I49" i="36"/>
  <c r="I50" i="36"/>
  <c r="G52" i="40"/>
  <c r="I50" i="39" l="1"/>
  <c r="I49" i="39"/>
  <c r="I48" i="39"/>
  <c r="I47" i="39"/>
  <c r="I46" i="39"/>
  <c r="I44" i="39"/>
  <c r="I43" i="39"/>
  <c r="I42" i="39"/>
  <c r="I41" i="39"/>
  <c r="I39" i="39"/>
  <c r="I38" i="39"/>
  <c r="I37" i="39"/>
  <c r="I36" i="39"/>
  <c r="I35" i="39"/>
  <c r="I32" i="39"/>
  <c r="I30" i="39"/>
  <c r="I29" i="39"/>
  <c r="I28" i="39"/>
  <c r="I27" i="39"/>
  <c r="I26" i="39"/>
  <c r="I24" i="39"/>
  <c r="I23" i="39"/>
  <c r="I22" i="39"/>
  <c r="I21" i="39"/>
  <c r="I20" i="39"/>
  <c r="I19" i="39"/>
  <c r="I18" i="39"/>
  <c r="I16" i="39"/>
  <c r="I15" i="39"/>
  <c r="I50" i="38"/>
  <c r="I49" i="38"/>
  <c r="I48" i="38"/>
  <c r="I47" i="38"/>
  <c r="I46" i="38"/>
  <c r="I44" i="38"/>
  <c r="I43" i="38"/>
  <c r="I42" i="38"/>
  <c r="I41" i="38"/>
  <c r="I39" i="38"/>
  <c r="I38" i="38"/>
  <c r="I37" i="38"/>
  <c r="I36" i="38"/>
  <c r="I35" i="38"/>
  <c r="I33" i="38"/>
  <c r="I32" i="38"/>
  <c r="I30" i="38"/>
  <c r="I29" i="38"/>
  <c r="I28" i="38"/>
  <c r="I27" i="38"/>
  <c r="I26" i="38"/>
  <c r="I24" i="38"/>
  <c r="I23" i="38"/>
  <c r="I22" i="38"/>
  <c r="I21" i="38"/>
  <c r="I20" i="38"/>
  <c r="I19" i="38"/>
  <c r="I18" i="38"/>
  <c r="I16" i="38"/>
  <c r="I15" i="38"/>
  <c r="G48" i="38" l="1"/>
  <c r="H52" i="37"/>
  <c r="G52" i="37" l="1"/>
  <c r="H36" i="36" l="1"/>
  <c r="H48" i="36"/>
  <c r="H46" i="36"/>
  <c r="H39" i="36"/>
  <c r="H42" i="36"/>
  <c r="H38" i="36"/>
  <c r="H44" i="36"/>
  <c r="H16" i="36" l="1"/>
  <c r="H30" i="36" l="1"/>
  <c r="H26" i="36" l="1"/>
  <c r="H32" i="36" l="1"/>
  <c r="H20" i="36"/>
  <c r="H52" i="36" l="1"/>
  <c r="H16" i="35"/>
  <c r="I50" i="35"/>
  <c r="I29" i="35"/>
  <c r="I48" i="35"/>
  <c r="H48" i="35"/>
  <c r="I46" i="35"/>
  <c r="H46" i="35"/>
  <c r="I44" i="35"/>
  <c r="H44" i="35"/>
  <c r="I33" i="35"/>
  <c r="I24" i="35"/>
  <c r="I42" i="35"/>
  <c r="I39" i="35"/>
  <c r="H39" i="35"/>
  <c r="I22" i="35"/>
  <c r="I47" i="35"/>
  <c r="I38" i="35"/>
  <c r="H38" i="35"/>
  <c r="I27" i="35"/>
  <c r="I49" i="35"/>
  <c r="I36" i="35"/>
  <c r="H36" i="35"/>
  <c r="I35" i="35"/>
  <c r="I16" i="35"/>
  <c r="I30" i="35"/>
  <c r="H30" i="35"/>
  <c r="I18" i="35"/>
  <c r="I28" i="35"/>
  <c r="I19" i="35"/>
  <c r="H26" i="35"/>
  <c r="I43" i="35"/>
  <c r="I41" i="35"/>
  <c r="I32" i="35"/>
  <c r="H32" i="35"/>
  <c r="I20" i="35"/>
  <c r="H20" i="35"/>
  <c r="I15" i="35"/>
  <c r="H48" i="34"/>
  <c r="H46" i="34"/>
  <c r="H44" i="34"/>
  <c r="H39" i="34"/>
  <c r="H38" i="34"/>
  <c r="H37" i="34"/>
  <c r="H36" i="34"/>
  <c r="H32" i="34"/>
  <c r="H30" i="34"/>
  <c r="H26" i="34"/>
  <c r="H23" i="34"/>
  <c r="H21" i="34"/>
  <c r="H20" i="34"/>
  <c r="H16" i="34"/>
  <c r="I49" i="33"/>
  <c r="I15" i="33"/>
  <c r="I43" i="33"/>
  <c r="I41" i="33"/>
  <c r="I32" i="33"/>
  <c r="H32" i="33"/>
  <c r="I20" i="33"/>
  <c r="H20" i="33"/>
  <c r="I26" i="33"/>
  <c r="H26" i="33"/>
  <c r="I28" i="33"/>
  <c r="I19" i="33"/>
  <c r="I18" i="33"/>
  <c r="I30" i="33"/>
  <c r="H30" i="33"/>
  <c r="I35" i="33" l="1"/>
  <c r="I16" i="33"/>
  <c r="H16" i="33"/>
  <c r="I36" i="33" l="1"/>
  <c r="H36" i="33"/>
  <c r="I47" i="33"/>
  <c r="I38" i="33"/>
  <c r="H38" i="33"/>
  <c r="I27" i="33"/>
  <c r="I42" i="33"/>
  <c r="I39" i="33"/>
  <c r="H39" i="33"/>
  <c r="I22" i="33"/>
  <c r="I24" i="33"/>
  <c r="I33" i="33"/>
  <c r="I44" i="33" l="1"/>
  <c r="H44" i="33"/>
  <c r="I46" i="33"/>
  <c r="H46" i="33"/>
  <c r="I48" i="33"/>
  <c r="H48" i="33"/>
  <c r="I50" i="33"/>
  <c r="I29" i="33"/>
  <c r="H48" i="32"/>
  <c r="H46" i="32"/>
  <c r="H44" i="32"/>
  <c r="H39" i="32"/>
  <c r="H47" i="32"/>
  <c r="H38" i="32"/>
  <c r="H36" i="32"/>
  <c r="H16" i="32"/>
  <c r="H30" i="32"/>
  <c r="H26" i="32"/>
  <c r="H32" i="32"/>
  <c r="H20" i="32"/>
  <c r="H36" i="31"/>
  <c r="H48" i="31" l="1"/>
  <c r="H46" i="31"/>
  <c r="H44" i="31"/>
  <c r="H39" i="31"/>
  <c r="H38" i="31"/>
  <c r="H37" i="31"/>
  <c r="H32" i="31"/>
  <c r="H30" i="31"/>
  <c r="H26" i="31"/>
  <c r="H23" i="31"/>
  <c r="H21" i="31"/>
  <c r="H20" i="31"/>
  <c r="H16" i="31"/>
  <c r="H48" i="19"/>
  <c r="H46" i="19"/>
  <c r="H44" i="19"/>
  <c r="H39" i="19"/>
  <c r="H38" i="19"/>
  <c r="H37" i="19"/>
  <c r="H36" i="19"/>
  <c r="H32" i="19"/>
  <c r="H30" i="19"/>
  <c r="H26" i="19"/>
  <c r="H23" i="19"/>
  <c r="H21" i="19"/>
  <c r="H20" i="19"/>
  <c r="H16" i="19"/>
  <c r="H52" i="41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G52" i="36"/>
  <c r="I52" i="35"/>
  <c r="H52" i="35"/>
  <c r="G52" i="35"/>
  <c r="I52" i="34"/>
  <c r="G52" i="34"/>
  <c r="H52" i="34"/>
  <c r="I52" i="33"/>
  <c r="G52" i="33"/>
  <c r="I52" i="32"/>
  <c r="G52" i="32"/>
  <c r="H52" i="32"/>
  <c r="I52" i="31"/>
  <c r="G52" i="31"/>
  <c r="H52" i="33"/>
  <c r="I52" i="19"/>
  <c r="G52" i="19"/>
  <c r="H52" i="31" l="1"/>
  <c r="H52" i="19"/>
  <c r="I52" i="41"/>
  <c r="I52" i="42"/>
  <c r="G52" i="42"/>
  <c r="H52" i="42" l="1"/>
</calcChain>
</file>

<file path=xl/sharedStrings.xml><?xml version="1.0" encoding="utf-8"?>
<sst xmlns="http://schemas.openxmlformats.org/spreadsheetml/2006/main" count="1274" uniqueCount="71">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</sst>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6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_июль" xfId="1" xr:uid="{DDFD5148-0729-4169-83AA-382E940DEC79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24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14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14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70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271319</v>
      </c>
      <c r="H15" s="6">
        <f>январь!H15+февраль!H15+март!H15+апрель!H15+май!H15+июнь!H15+июль!H15+август!H15+сентябрь!H15+октябрь!H15+ноябрь!H15+декабрь!H15</f>
        <v>51843</v>
      </c>
      <c r="I15" s="6">
        <f>январь!I15+февраль!I15+март!I15+апрель!I15+май!I15+июнь!I15+июль!I15+август!I15+сентябрь!I15+октябрь!I15+ноябрь!I15+декабрь!I15</f>
        <v>492686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194754</v>
      </c>
      <c r="H16" s="6">
        <f>январь!H16+февраль!H16+март!H16+апрель!H16+май!H16+июнь!H16+июль!H16+август!H16+сентябрь!H16+октябрь!H16+ноябрь!H16+декабрь!H16</f>
        <v>47482</v>
      </c>
      <c r="I16" s="6">
        <f>январь!I16+февраль!I16+март!I16+апрель!I16+май!I16+июнь!I16+июль!I16+август!I16+сентябрь!I16+октябрь!I16+ноябрь!I16+декабрь!I16</f>
        <v>96972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26813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5034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602403</v>
      </c>
      <c r="H18" s="6">
        <f>январь!H18+февраль!H18+март!H18+апрель!H18+май!H18+июнь!H18+июль!H18+август!H18+сентябрь!H18+октябрь!H18+ноябрь!H18+декабрь!H18</f>
        <v>46865</v>
      </c>
      <c r="I18" s="6">
        <f>январь!I18+февраль!I18+март!I18+апрель!I18+май!I18+июнь!I18+июль!I18+август!I18+сентябрь!I18+октябрь!I18+ноябрь!I18+декабрь!I18</f>
        <v>77495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98806</v>
      </c>
      <c r="H19" s="6">
        <f>январь!H19+февраль!H19+март!H19+апрель!H19+май!H19+июнь!H19+июль!H19+август!H19+сентябрь!H19+октябрь!H19+ноябрь!H19+декабрь!H19</f>
        <v>2810</v>
      </c>
      <c r="I19" s="6">
        <f>январь!I19+февраль!I19+март!I19+апрель!I19+май!I19+июнь!I19+июль!I19+август!I19+сентябрь!I19+октябрь!I19+ноябрь!I19+декабрь!I19</f>
        <v>31225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540201</v>
      </c>
      <c r="H20" s="6">
        <f>январь!H20+февраль!H20+март!H20+апрель!H20+май!H20+июнь!H20+июль!H20+август!H20+сентябрь!H20+октябрь!H20+ноябрь!H20+декабрь!H20</f>
        <v>317283</v>
      </c>
      <c r="I20" s="6">
        <f>январь!I20+февраль!I20+март!I20+апрель!I20+май!I20+июнь!I20+июль!I20+август!I20+сентябрь!I20+октябрь!I20+ноябрь!I20+декабрь!I20</f>
        <v>268127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132999</v>
      </c>
      <c r="H21" s="6">
        <f>январь!H21+февраль!H21+март!H21+апрель!H21+май!H21+июнь!H21+июль!H21+август!H21+сентябрь!H21+октябрь!H21+ноябрь!H21+декабрь!H21</f>
        <v>101788</v>
      </c>
      <c r="I21" s="6">
        <f>январь!I21+февраль!I21+март!I21+апрель!I21+май!I21+июнь!I21+июль!I21+август!I21+сентябрь!I21+октябрь!I21+ноябрь!I21+декабрь!I21</f>
        <v>54487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66145</v>
      </c>
      <c r="H22" s="6">
        <f>январь!H22+февраль!H22+март!H22+апрель!H22+май!H22+июнь!H22+июль!H22+август!H22+сентябрь!H22+октябрь!H22+ноябрь!H22+декабрь!H22</f>
        <v>13951</v>
      </c>
      <c r="I22" s="6">
        <f>январь!I22+февраль!I22+март!I22+апрель!I22+май!I22+июнь!I22+июль!I22+август!I22+сентябрь!I22+октябрь!I22+ноябрь!I22+декабрь!I22</f>
        <v>32158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74015</v>
      </c>
      <c r="H23" s="6">
        <f>январь!H23+февраль!H23+март!H23+апрель!H23+май!H23+июнь!H23+июль!H23+август!H23+сентябрь!H23+октябрь!H23+ноябрь!H23+декабрь!H23</f>
        <v>6053</v>
      </c>
      <c r="I23" s="6">
        <f>январь!I23+февраль!I23+март!I23+апрель!I23+май!I23+июнь!I23+июль!I23+август!I23+сентябрь!I23+октябрь!I23+ноябрь!I23+декабрь!I23</f>
        <v>45685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34760</v>
      </c>
      <c r="H24" s="6">
        <f>январь!H24+февраль!H24+март!H24+апрель!H24+май!H24+июнь!H24+июль!H24+август!H24+сентябрь!H24+октябрь!H24+ноябрь!H24+декабрь!H24</f>
        <v>9952</v>
      </c>
      <c r="I24" s="6">
        <f>январь!I24+февраль!I24+март!I24+апрель!I24+май!I24+июнь!I24+июль!I24+август!I24+сентябрь!I24+октябрь!I24+ноябрь!I24+декабрь!I24</f>
        <v>13059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127535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49581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750631</v>
      </c>
      <c r="H26" s="6">
        <f>январь!H26+февраль!H26+март!H26+апрель!H26+май!H26+июнь!H26+июль!H26+август!H26+сентябрь!H26+октябрь!H26+ноябрь!H26+декабрь!H26</f>
        <v>181242</v>
      </c>
      <c r="I26" s="6">
        <f>январь!I26+февраль!I26+март!I26+апрель!I26+май!I26+июнь!I26+июль!I26+август!I26+сентябрь!I26+октябрь!I26+ноябрь!I26+декабрь!I26</f>
        <v>207357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125186</v>
      </c>
      <c r="H27" s="6">
        <f>январь!H27+февраль!H27+март!H27+апрель!H27+май!H27+июнь!H27+июль!H27+август!H27+сентябрь!H27+октябрь!H27+ноябрь!H27+декабрь!H27</f>
        <v>14634</v>
      </c>
      <c r="I27" s="6">
        <f>январь!I27+февраль!I27+март!I27+апрель!I27+май!I27+июнь!I27+июль!I27+август!I27+сентябрь!I27+октябрь!I27+ноябрь!I27+декабрь!I27</f>
        <v>50918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714579</v>
      </c>
      <c r="H28" s="6">
        <f>январь!H28+февраль!H28+март!H28+апрель!H28+май!H28+июнь!H28+июль!H28+август!H28+сентябрь!H28+октябрь!H28+ноябрь!H28+декабрь!H28</f>
        <v>71151</v>
      </c>
      <c r="I28" s="6">
        <f>январь!I28+февраль!I28+март!I28+апрель!I28+май!I28+июнь!I28+июль!I28+август!I28+сентябрь!I28+октябрь!I28+ноябрь!I28+декабрь!I28</f>
        <v>173911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54105</v>
      </c>
      <c r="H29" s="6">
        <f>январь!H29+февраль!H29+март!H29+апрель!H29+май!H29+июнь!H29+июль!H29+август!H29+сентябрь!H29+октябрь!H29+ноябрь!H29+декабрь!H29</f>
        <v>1699</v>
      </c>
      <c r="I29" s="6">
        <f>январь!I29+февраль!I29+март!I29+апрель!I29+май!I29+июнь!I29+июль!I29+август!I29+сентябрь!I29+октябрь!I29+ноябрь!I29+декабрь!I29</f>
        <v>12012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719002</v>
      </c>
      <c r="H30" s="6">
        <f>январь!H30+февраль!H30+март!H30+апрель!H30+май!H30+июнь!H30+июль!H30+август!H30+сентябрь!H30+октябрь!H30+ноябрь!H30+декабрь!H30</f>
        <v>630223</v>
      </c>
      <c r="I30" s="6">
        <f>январь!I30+февраль!I30+март!I30+апрель!I30+май!I30+июнь!I30+июль!I30+август!I30+сентябрь!I30+октябрь!I30+ноябрь!I30+декабрь!I30</f>
        <v>143064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121086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11594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303508</v>
      </c>
      <c r="H32" s="6">
        <f>январь!H32+февраль!H32+март!H32+апрель!H32+май!H32+июнь!H32+июль!H32+август!H32+сентябрь!H32+октябрь!H32+ноябрь!H32+декабрь!H32</f>
        <v>213860</v>
      </c>
      <c r="I32" s="6">
        <f>январь!I32+февраль!I32+март!I32+апрель!I32+май!I32+июнь!I32+июль!I32+август!I32+сентябрь!I32+октябрь!I32+ноябрь!I32+декабрь!I32</f>
        <v>70166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115030</v>
      </c>
      <c r="H33" s="6">
        <f>январь!H33+февраль!H33+март!H33+апрель!H33+май!H33+июнь!H33+июль!H33+август!H33+сентябрь!H33+октябрь!H33+ноябрь!H33+декабрь!H33</f>
        <v>4246</v>
      </c>
      <c r="I33" s="6">
        <f>январь!I33+февраль!I33+март!I33+апрель!I33+май!I33+июнь!I33+июль!I33+август!I33+сентябрь!I33+октябрь!I33+ноябрь!I33+декабрь!I33</f>
        <v>40913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9846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1390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729613</v>
      </c>
      <c r="H35" s="6">
        <f>январь!H35+февраль!H35+март!H35+апрель!H35+май!H35+июнь!H35+июль!H35+август!H35+сентябрь!H35+октябрь!H35+ноябрь!H35+декабрь!H35</f>
        <v>268881</v>
      </c>
      <c r="I35" s="6">
        <f>январь!I35+февраль!I35+март!I35+апрель!I35+май!I35+июнь!I35+июль!I35+август!I35+сентябрь!I35+октябрь!I35+ноябрь!I35+декабрь!I35</f>
        <v>150278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1096335</v>
      </c>
      <c r="H36" s="6">
        <f>январь!H36+февраль!H36+март!H36+апрель!H36+май!H36+июнь!H36+июль!H36+август!H36+сентябрь!H36+октябрь!H36+ноябрь!H36+декабрь!H36</f>
        <v>263037</v>
      </c>
      <c r="I36" s="6">
        <f>январь!I36+февраль!I36+март!I36+апрель!I36+май!I36+июнь!I36+июль!I36+август!I36+сентябрь!I36+октябрь!I36+ноябрь!I36+декабрь!I36</f>
        <v>359416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804505</v>
      </c>
      <c r="H37" s="6">
        <f>январь!H37+февраль!H37+март!H37+апрель!H37+май!H37+июнь!H37+июль!H37+август!H37+сентябрь!H37+октябрь!H37+ноябрь!H37+декабрь!H37</f>
        <v>191598</v>
      </c>
      <c r="I37" s="6">
        <f>январь!I37+февраль!I37+март!I37+апрель!I37+май!I37+июнь!I37+июль!I37+август!I37+сентябрь!I37+октябрь!I37+ноябрь!I37+декабрь!I37</f>
        <v>714951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398324</v>
      </c>
      <c r="H38" s="6">
        <f>январь!H38+февраль!H38+март!H38+апрель!H38+май!H38+июнь!H38+июль!H38+август!H38+сентябрь!H38+октябрь!H38+ноябрь!H38+декабрь!H38</f>
        <v>254224</v>
      </c>
      <c r="I38" s="6">
        <f>январь!I38+февраль!I38+март!I38+апрель!I38+май!I38+июнь!I38+июль!I38+август!I38+сентябрь!I38+октябрь!I38+ноябрь!I38+декабрь!I38</f>
        <v>198884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1002031</v>
      </c>
      <c r="H39" s="6">
        <f>январь!H39+февраль!H39+март!H39+апрель!H39+май!H39+июнь!H39+июль!H39+август!H39+сентябрь!H39+октябрь!H39+ноябрь!H39+декабрь!H39</f>
        <v>238134</v>
      </c>
      <c r="I39" s="6">
        <f>январь!I39+февраль!I39+март!I39+апрель!I39+май!I39+июнь!I39+июль!I39+август!I39+сентябрь!I39+октябрь!I39+ноябрь!I39+декабрь!I39</f>
        <v>264926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22076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январь!I40+февраль!I40+март!I40+апрель!I40+май!I40+июнь!I40+июль!I40+август!I40+сентябрь!I40+октябрь!I40+ноябрь!I40+декабрь!I40</f>
        <v>1711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98990</v>
      </c>
      <c r="H41" s="6">
        <f>январь!H41+февраль!H41+март!H41+апрель!H41+май!H41+июнь!H41+июль!H41+август!H41+сентябрь!H41+октябрь!H41+ноябрь!H41+декабрь!H41</f>
        <v>8586</v>
      </c>
      <c r="I41" s="6">
        <f>январь!I41+февраль!I41+март!I41+апрель!I41+май!I41+июнь!I41+июль!I41+август!I41+сентябрь!I41+октябрь!I41+ноябрь!I41+декабрь!I41</f>
        <v>27944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75496</v>
      </c>
      <c r="H42" s="6">
        <f>январь!H42+февраль!H42+март!H42+апрель!H42+май!H42+июнь!H42+июль!H42+август!H42+сентябрь!H42+октябрь!H42+ноябрь!H42+декабрь!H42</f>
        <v>25329</v>
      </c>
      <c r="I42" s="6">
        <f>январь!I42+февраль!I42+март!I42+апрель!I42+май!I42+июнь!I42+июль!I42+август!I42+сентябрь!I42+октябрь!I42+ноябрь!I42+декабрь!I42</f>
        <v>18964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86755</v>
      </c>
      <c r="H43" s="6">
        <f>январь!H43+февраль!H43+март!H43+апрель!H43+май!H43+июнь!H43+июль!H43+август!H43+сентябрь!H43+октябрь!H43+ноябрь!H43+декабрь!H43</f>
        <v>829</v>
      </c>
      <c r="I43" s="6">
        <f>январь!I43+февраль!I43+март!I43+апрель!I43+май!I43+июнь!I43+июль!I43+август!I43+сентябрь!I43+октябрь!I43+ноябрь!I43+декабрь!I43</f>
        <v>18233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394090</v>
      </c>
      <c r="H44" s="6">
        <f>январь!H44+февраль!H44+март!H44+апрель!H44+май!H44+июнь!H44+июль!H44+август!H44+сентябрь!H44+октябрь!H44+ноябрь!H44+декабрь!H44</f>
        <v>66656</v>
      </c>
      <c r="I44" s="6">
        <f>январь!I44+февраль!I44+март!I44+апрель!I44+май!I44+июнь!I44+июль!I44+август!I44+сентябрь!I44+октябрь!I44+ноябрь!I44+декабрь!I44</f>
        <v>160599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18041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январь!I45+февраль!I45+март!I45+апрель!I45+май!I45+июнь!I45+июль!I45+август!I45+сентябрь!I45+октябрь!I45+ноябрь!I45+декабрь!I45</f>
        <v>4207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583203</v>
      </c>
      <c r="H46" s="6">
        <f>январь!H46+февраль!H46+март!H46+апрель!H46+май!H46+июнь!H46+июль!H46+август!H46+сентябрь!H46+октябрь!H46+ноябрь!H46+декабрь!H46</f>
        <v>121718</v>
      </c>
      <c r="I46" s="6">
        <f>январь!I46+февраль!I46+март!I46+апрель!I46+май!I46+июнь!I46+июль!I46+август!I46+сентябрь!I46+октябрь!I46+ноябрь!I46+декабрь!I46</f>
        <v>152203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201643</v>
      </c>
      <c r="H47" s="6">
        <f>январь!H47+февраль!H47+март!H47+апрель!H47+май!H47+июнь!H47+июль!H47+август!H47+сентябрь!H47+октябрь!H47+ноябрь!H47+декабрь!H47</f>
        <v>12572</v>
      </c>
      <c r="I47" s="6">
        <f>январь!I47+февраль!I47+март!I47+апрель!I47+май!I47+июнь!I47+июль!I47+август!I47+сентябрь!I47+октябрь!I47+ноябрь!I47+декабрь!I47</f>
        <v>131005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813573</v>
      </c>
      <c r="H48" s="6">
        <f>январь!H48+февраль!H48+март!H48+апрель!H48+май!H48+июнь!H48+июль!H48+август!H48+сентябрь!H48+октябрь!H48+ноябрь!H48+декабрь!H48</f>
        <v>149503</v>
      </c>
      <c r="I48" s="6">
        <f>январь!I48+февраль!I48+март!I48+апрель!I48+май!I48+июнь!I48+июль!I48+август!I48+сентябрь!I48+октябрь!I48+ноябрь!I48+декабрь!I48</f>
        <v>206498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70830</v>
      </c>
      <c r="H49" s="6">
        <f>январь!H49+февраль!H49+март!H49+апрель!H49+май!H49+июнь!H49+июль!H49+август!H49+сентябрь!H49+октябрь!H49+ноябрь!H49+декабрь!H49</f>
        <v>7690</v>
      </c>
      <c r="I49" s="6">
        <f>январь!I49+февраль!I49+март!I49+апрель!I49+май!I49+июнь!I49+июль!I49+август!I49+сентябрь!I49+октябрь!I49+ноябрь!I49+декабрь!I49</f>
        <v>26774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295622</v>
      </c>
      <c r="H50" s="6">
        <f>январь!H50+февраль!H50+март!H50+апрель!H50+май!H50+июнь!H50+июль!H50+август!H50+сентябрь!H50+октябрь!H50+ноябрь!H50+декабрь!H50</f>
        <v>21736</v>
      </c>
      <c r="I50" s="6">
        <f>январь!I50+февраль!I50+март!I50+апрель!I50+май!I50+июнь!I50+июль!I50+август!I50+сентябрь!I50+октябрь!I50+ноябрь!I50+декабрь!I50</f>
        <v>133219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80023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>
        <f>январь!I51+февраль!I51+март!I51+апрель!I51+май!I51+июнь!I51+июль!I51+август!I51+сентябрь!I51+октябрь!I51+ноябрь!I51+декабрь!I51</f>
        <v>34409</v>
      </c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11853873</v>
      </c>
      <c r="H52" s="11">
        <f t="shared" ref="H52:I52" si="0">SUM(H15:H51)</f>
        <v>3345575</v>
      </c>
      <c r="I52" s="11">
        <f t="shared" si="0"/>
        <v>4482055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23" zoomScale="90" zoomScaleNormal="90" workbookViewId="0">
      <selection activeCell="H44" sqref="H15:H44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69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22411</v>
      </c>
      <c r="H15" s="6">
        <v>2757</v>
      </c>
      <c r="I15" s="6">
        <f>30423-H15</f>
        <v>27666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17043</v>
      </c>
      <c r="H16" s="6">
        <v>2166</v>
      </c>
      <c r="I16" s="6">
        <f>9128-H16</f>
        <v>6962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2784</v>
      </c>
      <c r="H17" s="6"/>
      <c r="I17" s="6">
        <v>288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33347</v>
      </c>
      <c r="H18" s="6">
        <v>2819</v>
      </c>
      <c r="I18" s="6">
        <f>7159-2819</f>
        <v>4340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6557</v>
      </c>
      <c r="H19" s="6">
        <v>218</v>
      </c>
      <c r="I19" s="6">
        <f>1668-H19</f>
        <v>1450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47838</v>
      </c>
      <c r="H20" s="6">
        <v>19840</v>
      </c>
      <c r="I20" s="6">
        <f>37328-H20</f>
        <v>17488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11436</v>
      </c>
      <c r="H21" s="6">
        <v>4621</v>
      </c>
      <c r="I21" s="6">
        <f>7680-H21</f>
        <v>3059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5544</v>
      </c>
      <c r="H22" s="6">
        <v>464</v>
      </c>
      <c r="I22" s="6">
        <f>1632-H22</f>
        <v>1168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7872</v>
      </c>
      <c r="H23" s="6">
        <v>480</v>
      </c>
      <c r="I23" s="6">
        <f>2046-H23</f>
        <v>1566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4109</v>
      </c>
      <c r="H24" s="6">
        <v>225</v>
      </c>
      <c r="I24" s="6">
        <f>603-H24</f>
        <v>378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8560</v>
      </c>
      <c r="H25" s="6"/>
      <c r="I25" s="6">
        <v>2596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50937</v>
      </c>
      <c r="H26" s="6">
        <v>10997</v>
      </c>
      <c r="I26" s="6">
        <f>23425-H26</f>
        <v>12428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13843</v>
      </c>
      <c r="H27" s="6">
        <v>353</v>
      </c>
      <c r="I27" s="6">
        <f>2856-H27</f>
        <v>2503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52412</v>
      </c>
      <c r="H28" s="6">
        <v>5895</v>
      </c>
      <c r="I28" s="6">
        <f>18387-H28</f>
        <v>12492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3606</v>
      </c>
      <c r="H29" s="6">
        <v>131</v>
      </c>
      <c r="I29" s="6">
        <f>791-H29</f>
        <v>660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54903</v>
      </c>
      <c r="H30" s="6">
        <v>43770</v>
      </c>
      <c r="I30" s="6">
        <f>52389-H30</f>
        <v>8619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5769</v>
      </c>
      <c r="H31" s="6"/>
      <c r="I31" s="6">
        <v>547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24955</v>
      </c>
      <c r="H32" s="6">
        <v>9385</v>
      </c>
      <c r="I32" s="6">
        <f>12967-H32</f>
        <v>3582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10332</v>
      </c>
      <c r="H33" s="6">
        <v>22</v>
      </c>
      <c r="I33" s="6">
        <f>2648-H33</f>
        <v>2626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935</v>
      </c>
      <c r="H34" s="6"/>
      <c r="I34" s="6">
        <v>18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52847</v>
      </c>
      <c r="H35" s="6">
        <v>18897</v>
      </c>
      <c r="I35" s="6">
        <f>31960-H35</f>
        <v>13063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92868</v>
      </c>
      <c r="H36" s="6">
        <v>16110</v>
      </c>
      <c r="I36" s="6">
        <f>30979-H36</f>
        <v>14869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56094</v>
      </c>
      <c r="H37" s="6">
        <v>16973</v>
      </c>
      <c r="I37" s="6">
        <f>49803-H37</f>
        <v>32830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30501</v>
      </c>
      <c r="H38" s="6">
        <v>17431</v>
      </c>
      <c r="I38" s="6">
        <f>27023-H38</f>
        <v>9592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76696</v>
      </c>
      <c r="H39" s="6">
        <v>15059</v>
      </c>
      <c r="I39" s="6">
        <f>37638-H39</f>
        <v>22579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4239</v>
      </c>
      <c r="H40" s="6"/>
      <c r="I40" s="6">
        <v>131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7197</v>
      </c>
      <c r="H41" s="6">
        <v>71</v>
      </c>
      <c r="I41" s="6">
        <f>1238-H41</f>
        <v>1167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6988</v>
      </c>
      <c r="H42" s="6">
        <v>1243</v>
      </c>
      <c r="I42" s="6">
        <f>2346-H42</f>
        <v>1103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9903</v>
      </c>
      <c r="H43" s="6">
        <v>91</v>
      </c>
      <c r="I43" s="6">
        <f>728-H43</f>
        <v>637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29526</v>
      </c>
      <c r="H44" s="6">
        <v>5718</v>
      </c>
      <c r="I44" s="6">
        <f>15880-H44</f>
        <v>10162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2566</v>
      </c>
      <c r="H45" s="6"/>
      <c r="I45" s="6">
        <v>255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41783</v>
      </c>
      <c r="H46" s="6">
        <v>9271</v>
      </c>
      <c r="I46" s="6">
        <f>20122-H46</f>
        <v>10851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15387</v>
      </c>
      <c r="H47" s="6">
        <v>1049</v>
      </c>
      <c r="I47" s="6">
        <f>8221-H47</f>
        <v>7172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52214+106+320</f>
        <v>52640</v>
      </c>
      <c r="H48" s="6">
        <v>8439</v>
      </c>
      <c r="I48" s="6">
        <f>22835-H48</f>
        <v>14396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6231</v>
      </c>
      <c r="H49" s="6">
        <v>727</v>
      </c>
      <c r="I49" s="6">
        <f>1511-H49</f>
        <v>784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20151</v>
      </c>
      <c r="H50" s="6">
        <v>1967</v>
      </c>
      <c r="I50" s="6">
        <f>9102-H50</f>
        <v>7135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6583</v>
      </c>
      <c r="H51" s="6"/>
      <c r="I51" s="6">
        <v>1809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897393</v>
      </c>
      <c r="H52" s="11">
        <f t="shared" ref="H52:I52" si="0">SUM(H15:H51)</f>
        <v>217189</v>
      </c>
      <c r="I52" s="11">
        <f t="shared" si="0"/>
        <v>258971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A23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10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21230</v>
      </c>
      <c r="H15" s="6">
        <v>3106</v>
      </c>
      <c r="I15" s="6">
        <f>36624-H15</f>
        <v>33518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16639</v>
      </c>
      <c r="H16" s="6">
        <v>3152</v>
      </c>
      <c r="I16" s="6">
        <f>10767-H16</f>
        <v>7615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2497</v>
      </c>
      <c r="H17" s="6"/>
      <c r="I17" s="6">
        <v>365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40588</v>
      </c>
      <c r="H18" s="6">
        <v>2826</v>
      </c>
      <c r="I18" s="6">
        <f>9285-H18</f>
        <v>6459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6587</v>
      </c>
      <c r="H19" s="6">
        <v>293</v>
      </c>
      <c r="I19" s="6">
        <f>2733-H19</f>
        <v>2440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46077</v>
      </c>
      <c r="H20" s="6">
        <v>23413</v>
      </c>
      <c r="I20" s="6">
        <f>44957-H20</f>
        <v>21544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11816</v>
      </c>
      <c r="H21" s="6">
        <v>5541</v>
      </c>
      <c r="I21" s="6">
        <f>9067-H21</f>
        <v>3526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3471</v>
      </c>
      <c r="H22" s="6">
        <v>950</v>
      </c>
      <c r="I22" s="6">
        <f>2521-H22</f>
        <v>1571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7532</v>
      </c>
      <c r="H23" s="6">
        <v>515</v>
      </c>
      <c r="I23" s="6">
        <f>3580-H23</f>
        <v>3065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3611</v>
      </c>
      <c r="H24" s="6">
        <v>322</v>
      </c>
      <c r="I24" s="6">
        <f>1217-H24</f>
        <v>895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9020</v>
      </c>
      <c r="H25" s="6"/>
      <c r="I25" s="6">
        <v>3334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55977</v>
      </c>
      <c r="H26" s="6">
        <v>13176</v>
      </c>
      <c r="I26" s="6">
        <f>31851-H26</f>
        <v>18675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13570</v>
      </c>
      <c r="H27" s="6">
        <v>585</v>
      </c>
      <c r="I27" s="6">
        <f>4088-H27</f>
        <v>3503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53610</v>
      </c>
      <c r="H28" s="6">
        <v>5367</v>
      </c>
      <c r="I28" s="6">
        <f>20822-H28</f>
        <v>15455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3009</v>
      </c>
      <c r="H29" s="6">
        <v>130</v>
      </c>
      <c r="I29" s="6">
        <f>1005-H29</f>
        <v>875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49226</v>
      </c>
      <c r="H30" s="6">
        <v>48134</v>
      </c>
      <c r="I30" s="6">
        <f>58835-H30</f>
        <v>10701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8955</v>
      </c>
      <c r="H31" s="6"/>
      <c r="I31" s="6">
        <v>929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26736</v>
      </c>
      <c r="H32" s="6">
        <v>14954</v>
      </c>
      <c r="I32" s="6">
        <f>20518-H32</f>
        <v>5564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8046</v>
      </c>
      <c r="H33" s="6"/>
      <c r="I33" s="6">
        <v>2718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858</v>
      </c>
      <c r="H34" s="6"/>
      <c r="I34" s="6">
        <v>78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46456</v>
      </c>
      <c r="H35" s="6">
        <v>21636</v>
      </c>
      <c r="I35" s="6">
        <f>36176-H35</f>
        <v>14540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91245</v>
      </c>
      <c r="H36" s="6">
        <v>12730</v>
      </c>
      <c r="I36" s="6">
        <f>34048-H36</f>
        <v>21318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65435</v>
      </c>
      <c r="H37" s="6">
        <v>16558</v>
      </c>
      <c r="I37" s="6">
        <f>73966-H37</f>
        <v>57408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27264</v>
      </c>
      <c r="H38" s="6">
        <v>18712</v>
      </c>
      <c r="I38" s="6">
        <f>30240-H38</f>
        <v>11528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73487</v>
      </c>
      <c r="H39" s="6">
        <v>17890</v>
      </c>
      <c r="I39" s="6">
        <f>38653-H39</f>
        <v>20763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2228</v>
      </c>
      <c r="H40" s="6"/>
      <c r="I40" s="6">
        <v>159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7121</v>
      </c>
      <c r="H41" s="6">
        <v>388</v>
      </c>
      <c r="I41" s="6">
        <f>2622-H41</f>
        <v>2234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6058</v>
      </c>
      <c r="H42" s="6">
        <v>1426</v>
      </c>
      <c r="I42" s="6">
        <f>2583-H42</f>
        <v>1157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7071</v>
      </c>
      <c r="H43" s="6">
        <v>73</v>
      </c>
      <c r="I43" s="6">
        <f>845-H43</f>
        <v>772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31120</v>
      </c>
      <c r="H44" s="6">
        <v>4488</v>
      </c>
      <c r="I44" s="6">
        <f>17191-H44</f>
        <v>12703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865</v>
      </c>
      <c r="H45" s="6"/>
      <c r="I45" s="6">
        <v>340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46212</v>
      </c>
      <c r="H46" s="6">
        <v>9722</v>
      </c>
      <c r="I46" s="6">
        <f>24742-H46</f>
        <v>15020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15209</v>
      </c>
      <c r="H47" s="6">
        <v>1149</v>
      </c>
      <c r="I47" s="6">
        <f>10807-H47</f>
        <v>9658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58771</v>
      </c>
      <c r="H48" s="6">
        <v>12168</v>
      </c>
      <c r="I48" s="6">
        <f>28820-H48</f>
        <v>16652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5817</v>
      </c>
      <c r="H49" s="6">
        <v>484</v>
      </c>
      <c r="I49" s="6">
        <f>1515-H49</f>
        <v>1031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24358</v>
      </c>
      <c r="H50" s="6">
        <v>2282</v>
      </c>
      <c r="I50" s="6">
        <f>13171-H50</f>
        <v>10889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6172</v>
      </c>
      <c r="H51" s="6"/>
      <c r="I51" s="6">
        <v>2393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903944</v>
      </c>
      <c r="H52" s="11">
        <f t="shared" ref="H52:I52" si="0">SUM(H15:H51)</f>
        <v>242170</v>
      </c>
      <c r="I52" s="11">
        <f t="shared" si="0"/>
        <v>341395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15" zoomScale="90" zoomScaleNormal="90" workbookViewId="0">
      <selection activeCell="I15" sqref="I15:I51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11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21439</v>
      </c>
      <c r="H15" s="6">
        <v>3886</v>
      </c>
      <c r="I15" s="6">
        <v>38403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16037</v>
      </c>
      <c r="H16" s="6">
        <v>5183</v>
      </c>
      <c r="I16" s="6">
        <v>9998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2071</v>
      </c>
      <c r="I17" s="6">
        <v>491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53230</v>
      </c>
      <c r="H18" s="6">
        <v>3805</v>
      </c>
      <c r="I18" s="6">
        <v>6716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8325</v>
      </c>
      <c r="H19" s="6">
        <v>243</v>
      </c>
      <c r="I19" s="6">
        <v>3413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48391</v>
      </c>
      <c r="H20" s="6">
        <v>29376</v>
      </c>
      <c r="I20" s="6">
        <v>26687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11710</v>
      </c>
      <c r="H21" s="6">
        <v>8205</v>
      </c>
      <c r="I21" s="6">
        <v>4944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5720</v>
      </c>
      <c r="H22" s="6">
        <v>1704</v>
      </c>
      <c r="I22" s="6">
        <v>3761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7011</v>
      </c>
      <c r="H23" s="6">
        <v>540</v>
      </c>
      <c r="I23" s="6">
        <v>5480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2539</v>
      </c>
      <c r="H24" s="6">
        <v>962</v>
      </c>
      <c r="I24" s="6">
        <v>816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10800</v>
      </c>
      <c r="I25" s="6">
        <v>5145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57170</v>
      </c>
      <c r="H26" s="6">
        <v>15263</v>
      </c>
      <c r="I26" s="6">
        <v>20809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10482</v>
      </c>
      <c r="H27" s="6">
        <v>716</v>
      </c>
      <c r="I27" s="6">
        <v>5109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59797</v>
      </c>
      <c r="H28" s="6">
        <v>4731</v>
      </c>
      <c r="I28" s="6">
        <v>20031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4619</v>
      </c>
      <c r="H29" s="6">
        <v>103</v>
      </c>
      <c r="I29" s="6">
        <v>1277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62433</v>
      </c>
      <c r="H30" s="6">
        <v>58445</v>
      </c>
      <c r="I30" s="6">
        <v>15543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10826</v>
      </c>
      <c r="H31" s="6"/>
      <c r="I31" s="6">
        <v>1536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25276</v>
      </c>
      <c r="H32" s="6">
        <v>23257</v>
      </c>
      <c r="I32" s="6">
        <v>7210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8417</v>
      </c>
      <c r="H33" s="6"/>
      <c r="I33" s="6">
        <v>3587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849</v>
      </c>
      <c r="H34" s="6"/>
      <c r="I34" s="6">
        <v>135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75172</v>
      </c>
      <c r="H35" s="6">
        <v>24166</v>
      </c>
      <c r="I35" s="6">
        <v>14487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90595</v>
      </c>
      <c r="H36" s="6">
        <v>20741</v>
      </c>
      <c r="I36" s="6">
        <v>36781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67847</v>
      </c>
      <c r="H37" s="6">
        <v>14241</v>
      </c>
      <c r="I37" s="6">
        <v>66455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35750</v>
      </c>
      <c r="H38" s="6">
        <v>20930</v>
      </c>
      <c r="I38" s="6">
        <v>20021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81978</v>
      </c>
      <c r="H39" s="6">
        <v>23677</v>
      </c>
      <c r="I39" s="6">
        <v>25493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1089</v>
      </c>
      <c r="H40" s="6"/>
      <c r="I40" s="6">
        <v>223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5894</v>
      </c>
      <c r="H41" s="6">
        <v>830</v>
      </c>
      <c r="I41" s="6">
        <v>752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5945</v>
      </c>
      <c r="H42" s="6">
        <v>1768</v>
      </c>
      <c r="I42" s="6">
        <v>1665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8736</v>
      </c>
      <c r="H43" s="6">
        <v>80</v>
      </c>
      <c r="I43" s="6">
        <v>2122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36983</v>
      </c>
      <c r="H44" s="6">
        <v>6108</v>
      </c>
      <c r="I44" s="6">
        <v>15946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1663</v>
      </c>
      <c r="H45" s="6"/>
      <c r="I45" s="6">
        <v>623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47736</v>
      </c>
      <c r="H46" s="6">
        <v>10475</v>
      </c>
      <c r="I46" s="6">
        <v>14925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15951</v>
      </c>
      <c r="H47" s="6">
        <v>1100</v>
      </c>
      <c r="I47" s="6">
        <v>13980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73696</v>
      </c>
      <c r="H48" s="6">
        <v>15139</v>
      </c>
      <c r="I48" s="6">
        <v>18993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5666</v>
      </c>
      <c r="H49" s="6">
        <v>233</v>
      </c>
      <c r="I49" s="6">
        <v>2298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24921</v>
      </c>
      <c r="H50" s="6">
        <v>2983</v>
      </c>
      <c r="I50" s="6">
        <v>14508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7047</v>
      </c>
      <c r="H51" s="6"/>
      <c r="I51" s="6">
        <v>3980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1013811</v>
      </c>
      <c r="H52" s="11">
        <f t="shared" ref="H52:I52" si="0">SUM(H15:H51)</f>
        <v>298890</v>
      </c>
      <c r="I52" s="11">
        <f t="shared" si="0"/>
        <v>434343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topLeftCell="A8" zoomScale="80" zoomScaleNormal="80" workbookViewId="0">
      <selection activeCell="J15" sqref="J15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5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20799</v>
      </c>
      <c r="H15" s="6">
        <f>4536+2606</f>
        <v>7142</v>
      </c>
      <c r="I15" s="6">
        <v>55178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18962</v>
      </c>
      <c r="H16" s="6">
        <v>4495</v>
      </c>
      <c r="I16" s="6">
        <v>10070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2194</v>
      </c>
      <c r="H17" s="6"/>
      <c r="I17" s="6">
        <v>552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57570</v>
      </c>
      <c r="H18" s="6">
        <v>4230</v>
      </c>
      <c r="I18" s="6">
        <v>10663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7244</v>
      </c>
      <c r="H19" s="6">
        <v>233</v>
      </c>
      <c r="I19" s="6">
        <v>3181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46337</v>
      </c>
      <c r="H20" s="6">
        <v>32011</v>
      </c>
      <c r="I20" s="6">
        <v>34101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11725</v>
      </c>
      <c r="H21" s="6">
        <v>12797</v>
      </c>
      <c r="I21" s="6">
        <v>7631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5583</v>
      </c>
      <c r="H22" s="6">
        <v>1822</v>
      </c>
      <c r="I22" s="6">
        <v>4027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3654</v>
      </c>
      <c r="H23" s="6">
        <v>420</v>
      </c>
      <c r="I23" s="6">
        <v>5902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2637</v>
      </c>
      <c r="H24" s="6">
        <v>1326</v>
      </c>
      <c r="I24" s="6">
        <v>1426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12245</v>
      </c>
      <c r="H25" s="6"/>
      <c r="I25" s="6">
        <v>6106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66215</v>
      </c>
      <c r="H26" s="6">
        <v>16048</v>
      </c>
      <c r="I26" s="6">
        <v>21904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9496</v>
      </c>
      <c r="H27" s="6">
        <v>1729</v>
      </c>
      <c r="I27" s="6">
        <v>5935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69543</v>
      </c>
      <c r="H28" s="6">
        <v>9319</v>
      </c>
      <c r="I28" s="6">
        <v>24174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4515</v>
      </c>
      <c r="H29" s="6">
        <v>135</v>
      </c>
      <c r="I29" s="6">
        <v>1318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63749</v>
      </c>
      <c r="H30" s="6">
        <v>69409</v>
      </c>
      <c r="I30" s="6">
        <v>16900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14151</v>
      </c>
      <c r="H31" s="6"/>
      <c r="I31" s="6">
        <v>1264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24775</v>
      </c>
      <c r="H32" s="6">
        <v>24445</v>
      </c>
      <c r="I32" s="6">
        <v>9967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8999</v>
      </c>
      <c r="H33" s="6"/>
      <c r="I33" s="6">
        <v>4663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697</v>
      </c>
      <c r="H34" s="6"/>
      <c r="I34" s="6">
        <v>214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70116</v>
      </c>
      <c r="H35" s="6">
        <v>24366</v>
      </c>
      <c r="I35" s="6">
        <v>15006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101547</v>
      </c>
      <c r="H36" s="6">
        <v>28541</v>
      </c>
      <c r="I36" s="6">
        <v>45435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68014</v>
      </c>
      <c r="H37" s="6">
        <v>12542</v>
      </c>
      <c r="I37" s="6">
        <v>79504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32771</v>
      </c>
      <c r="H38" s="6">
        <v>20907</v>
      </c>
      <c r="I38" s="6">
        <v>26851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90369</v>
      </c>
      <c r="H39" s="6">
        <v>33117</v>
      </c>
      <c r="I39" s="6">
        <v>32792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804</v>
      </c>
      <c r="H40" s="6"/>
      <c r="I40" s="6">
        <v>254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7067</v>
      </c>
      <c r="H41" s="6">
        <v>1316</v>
      </c>
      <c r="I41" s="6">
        <v>6154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7880</v>
      </c>
      <c r="H42" s="6">
        <v>2533</v>
      </c>
      <c r="I42" s="6">
        <v>2548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6390</v>
      </c>
      <c r="H43" s="6">
        <v>57</v>
      </c>
      <c r="I43" s="6">
        <v>2584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32568</v>
      </c>
      <c r="H44" s="6">
        <v>5514</v>
      </c>
      <c r="I44" s="6">
        <v>16459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1250</v>
      </c>
      <c r="H45" s="6"/>
      <c r="I45" s="6">
        <v>294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48605</v>
      </c>
      <c r="H46" s="6">
        <v>11692</v>
      </c>
      <c r="I46" s="6">
        <v>16936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15276</v>
      </c>
      <c r="H47" s="6">
        <v>841</v>
      </c>
      <c r="I47" s="6">
        <v>16319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75522</v>
      </c>
      <c r="H48" s="6">
        <v>17149</v>
      </c>
      <c r="I48" s="6">
        <v>22304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6129</v>
      </c>
      <c r="H49" s="6">
        <v>384</v>
      </c>
      <c r="I49" s="6">
        <v>3791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21513</v>
      </c>
      <c r="H50" s="6">
        <v>2659</v>
      </c>
      <c r="I50" s="6">
        <v>14683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5523</v>
      </c>
      <c r="H51" s="6"/>
      <c r="I51" s="6">
        <v>4565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1042434</v>
      </c>
      <c r="H52" s="11">
        <f t="shared" ref="H52:I52" si="0">SUM(H15:H51)</f>
        <v>347179</v>
      </c>
      <c r="I52" s="11">
        <f t="shared" si="0"/>
        <v>531655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14" zoomScale="80" zoomScaleNormal="80" workbookViewId="0">
      <selection activeCell="I15" sqref="I15:I51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12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30819</v>
      </c>
      <c r="H15" s="6">
        <v>9647</v>
      </c>
      <c r="I15" s="6">
        <v>67907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25147</v>
      </c>
      <c r="H16" s="6">
        <f>2349+3135</f>
        <v>5484</v>
      </c>
      <c r="I16" s="6">
        <v>15636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2055</v>
      </c>
      <c r="H17" s="6"/>
      <c r="I17" s="6">
        <v>793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80631</v>
      </c>
      <c r="H18" s="6">
        <v>8097</v>
      </c>
      <c r="I18" s="6">
        <v>9872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11349</v>
      </c>
      <c r="H19" s="6">
        <v>239</v>
      </c>
      <c r="I19" s="6">
        <v>4132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55761</v>
      </c>
      <c r="H20" s="6">
        <f>21449+16156</f>
        <v>37605</v>
      </c>
      <c r="I20" s="6">
        <v>31016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12684</v>
      </c>
      <c r="H21" s="6">
        <f>10075+865</f>
        <v>10940</v>
      </c>
      <c r="I21" s="6">
        <v>7862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9441</v>
      </c>
      <c r="H22" s="6">
        <v>3047</v>
      </c>
      <c r="I22" s="6">
        <v>6138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6311</v>
      </c>
      <c r="H23" s="6">
        <f>227+380</f>
        <v>607</v>
      </c>
      <c r="I23" s="6">
        <v>6853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2851</v>
      </c>
      <c r="H24" s="6">
        <v>1828</v>
      </c>
      <c r="I24" s="6">
        <v>2418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16230</v>
      </c>
      <c r="H25" s="6"/>
      <c r="I25" s="6">
        <v>7645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103580</v>
      </c>
      <c r="H26" s="6">
        <f>6617+11353</f>
        <v>17970</v>
      </c>
      <c r="I26" s="6">
        <v>29519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10317</v>
      </c>
      <c r="H27" s="6">
        <v>2614</v>
      </c>
      <c r="I27" s="6">
        <v>8153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90825</v>
      </c>
      <c r="H28" s="6">
        <v>5821</v>
      </c>
      <c r="I28" s="6">
        <v>21742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7052</v>
      </c>
      <c r="H29" s="6">
        <v>163</v>
      </c>
      <c r="I29" s="6">
        <v>2349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79254</v>
      </c>
      <c r="H30" s="6">
        <f>68519+1550</f>
        <v>70069</v>
      </c>
      <c r="I30" s="6">
        <v>17851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17272</v>
      </c>
      <c r="H31" s="6"/>
      <c r="I31" s="6">
        <v>1749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32713</v>
      </c>
      <c r="H32" s="6">
        <f>24347+8723</f>
        <v>33070</v>
      </c>
      <c r="I32" s="6">
        <v>7189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13139</v>
      </c>
      <c r="H33" s="6">
        <v>854</v>
      </c>
      <c r="I33" s="6">
        <v>8497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794</v>
      </c>
      <c r="H34" s="6"/>
      <c r="I34" s="6">
        <v>404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84515</v>
      </c>
      <c r="H35" s="6">
        <v>25909</v>
      </c>
      <c r="I35" s="6">
        <v>20867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120332</v>
      </c>
      <c r="H36" s="6">
        <f>6235+32443</f>
        <v>38678</v>
      </c>
      <c r="I36" s="6">
        <v>59720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85786</v>
      </c>
      <c r="H37" s="6">
        <f>3456+11667</f>
        <v>15123</v>
      </c>
      <c r="I37" s="6">
        <v>102162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43880</v>
      </c>
      <c r="H38" s="6">
        <f>23361+4549</f>
        <v>27910</v>
      </c>
      <c r="I38" s="6">
        <v>30536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109384</v>
      </c>
      <c r="H39" s="6">
        <f>6011+19231</f>
        <v>25242</v>
      </c>
      <c r="I39" s="6">
        <v>32834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1741</v>
      </c>
      <c r="H40" s="6"/>
      <c r="I40" s="6">
        <v>302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11850</v>
      </c>
      <c r="H41" s="6">
        <v>1478</v>
      </c>
      <c r="I41" s="6">
        <v>3882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9291</v>
      </c>
      <c r="H42" s="6">
        <v>3562</v>
      </c>
      <c r="I42" s="6">
        <v>3897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8009</v>
      </c>
      <c r="H43" s="6">
        <v>50</v>
      </c>
      <c r="I43" s="6">
        <v>3770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43206</v>
      </c>
      <c r="H44" s="6">
        <f>266+8802</f>
        <v>9068</v>
      </c>
      <c r="I44" s="6">
        <v>21239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1670</v>
      </c>
      <c r="H45" s="6"/>
      <c r="I45" s="6">
        <v>973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73784</v>
      </c>
      <c r="H46" s="6">
        <f>2779+10014</f>
        <v>12793</v>
      </c>
      <c r="I46" s="6">
        <v>15957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23347</v>
      </c>
      <c r="H47" s="6">
        <v>1541</v>
      </c>
      <c r="I47" s="6">
        <v>17759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94224</v>
      </c>
      <c r="H48" s="6">
        <f>5916+10116</f>
        <v>16032</v>
      </c>
      <c r="I48" s="6">
        <v>27473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6151</v>
      </c>
      <c r="H49" s="6">
        <v>550</v>
      </c>
      <c r="I49" s="6">
        <v>4795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33684</v>
      </c>
      <c r="H50" s="6">
        <v>1830</v>
      </c>
      <c r="I50" s="6">
        <v>18651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8862</v>
      </c>
      <c r="H51" s="6"/>
      <c r="I51" s="6">
        <v>4204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1367941</v>
      </c>
      <c r="H52" s="11">
        <f t="shared" ref="H52:I52" si="0">SUM(H15:H51)</f>
        <v>387821</v>
      </c>
      <c r="I52" s="11">
        <f t="shared" si="0"/>
        <v>626746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7:I7"/>
    <mergeCell ref="H1:I1"/>
    <mergeCell ref="H2:I2"/>
    <mergeCell ref="H3:I3"/>
    <mergeCell ref="H4:I4"/>
    <mergeCell ref="H5:I5"/>
    <mergeCell ref="H6:I6"/>
    <mergeCell ref="A52:B52"/>
    <mergeCell ref="A9:I10"/>
    <mergeCell ref="A12:A14"/>
    <mergeCell ref="B12:B14"/>
    <mergeCell ref="C12:C14"/>
    <mergeCell ref="G13:I13"/>
    <mergeCell ref="D12: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5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13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28518</v>
      </c>
      <c r="H15" s="6">
        <v>4782</v>
      </c>
      <c r="I15" s="6">
        <v>56005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18799</v>
      </c>
      <c r="H16" s="6">
        <f>3110+3064</f>
        <v>6174</v>
      </c>
      <c r="I16" s="6">
        <v>11864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2090</v>
      </c>
      <c r="H17" s="6"/>
      <c r="I17" s="6">
        <v>681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68180</v>
      </c>
      <c r="H18" s="6">
        <v>5982</v>
      </c>
      <c r="I18" s="6">
        <v>8068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10002</v>
      </c>
      <c r="H19" s="6">
        <v>183</v>
      </c>
      <c r="I19" s="6">
        <v>3586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53172</v>
      </c>
      <c r="H20" s="6">
        <f>15723+17405</f>
        <v>33128</v>
      </c>
      <c r="I20" s="6">
        <v>28184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11303</v>
      </c>
      <c r="H21" s="6">
        <f>12058+761</f>
        <v>12819</v>
      </c>
      <c r="I21" s="6">
        <v>6502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6465</v>
      </c>
      <c r="H22" s="6"/>
      <c r="I22" s="6">
        <v>3828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5181</v>
      </c>
      <c r="H23" s="6">
        <f>230+240</f>
        <v>470</v>
      </c>
      <c r="I23" s="6">
        <v>5563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2943</v>
      </c>
      <c r="H24" s="6">
        <v>1223</v>
      </c>
      <c r="I24" s="6">
        <v>1791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13305</v>
      </c>
      <c r="H25" s="6"/>
      <c r="I25" s="6">
        <v>6675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81603</v>
      </c>
      <c r="H26" s="6">
        <f>19377+10067</f>
        <v>29444</v>
      </c>
      <c r="I26" s="6">
        <v>25838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7399</v>
      </c>
      <c r="H27" s="6">
        <v>2170</v>
      </c>
      <c r="I27" s="6">
        <v>6670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68266</v>
      </c>
      <c r="H28" s="6">
        <v>5250</v>
      </c>
      <c r="I28" s="6">
        <v>18669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6150</v>
      </c>
      <c r="H29" s="6">
        <v>139</v>
      </c>
      <c r="I29" s="6">
        <v>2089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67411</v>
      </c>
      <c r="H30" s="6">
        <f>53134+1759</f>
        <v>54893</v>
      </c>
      <c r="I30" s="6">
        <v>18166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11194</v>
      </c>
      <c r="H31" s="6"/>
      <c r="I31" s="6">
        <v>1245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28380</v>
      </c>
      <c r="H32" s="6">
        <f>19840+542</f>
        <v>20382</v>
      </c>
      <c r="I32" s="6">
        <v>10962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10009</v>
      </c>
      <c r="H33" s="6">
        <v>819</v>
      </c>
      <c r="I33" s="6">
        <v>4733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775</v>
      </c>
      <c r="H34" s="6"/>
      <c r="I34" s="6">
        <v>277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84192</v>
      </c>
      <c r="H35" s="6">
        <v>20905</v>
      </c>
      <c r="I35" s="6">
        <v>16763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89329</v>
      </c>
      <c r="H36" s="6">
        <f>1513+24400</f>
        <v>25913</v>
      </c>
      <c r="I36" s="6">
        <v>48865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79322</v>
      </c>
      <c r="H37" s="6">
        <f>3109+12110</f>
        <v>15219</v>
      </c>
      <c r="I37" s="6">
        <v>79597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37496</v>
      </c>
      <c r="H38" s="6">
        <f>19853+3900</f>
        <v>23753</v>
      </c>
      <c r="I38" s="6">
        <v>23737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94665</v>
      </c>
      <c r="H39" s="6">
        <f>3172+16384</f>
        <v>19556</v>
      </c>
      <c r="I39" s="6">
        <v>29690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1233</v>
      </c>
      <c r="H40" s="6"/>
      <c r="I40" s="6">
        <v>292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9802</v>
      </c>
      <c r="H41" s="6">
        <v>1030</v>
      </c>
      <c r="I41" s="6">
        <v>3574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5389</v>
      </c>
      <c r="H42" s="6">
        <v>2516</v>
      </c>
      <c r="I42" s="6">
        <v>2625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6282</v>
      </c>
      <c r="H43" s="6">
        <v>40</v>
      </c>
      <c r="I43" s="6">
        <v>2843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34494</v>
      </c>
      <c r="H44" s="6">
        <f>182+4834</f>
        <v>5016</v>
      </c>
      <c r="I44" s="6">
        <v>17856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1157</v>
      </c>
      <c r="H45" s="6"/>
      <c r="I45" s="6">
        <v>672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55232</v>
      </c>
      <c r="H46" s="6">
        <f>3177+7612</f>
        <v>10789</v>
      </c>
      <c r="I46" s="6">
        <v>13105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17659</v>
      </c>
      <c r="H47" s="6">
        <v>1001</v>
      </c>
      <c r="I47" s="6">
        <v>14135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52299</v>
      </c>
      <c r="H48" s="6">
        <f>5065+8301</f>
        <v>13366</v>
      </c>
      <c r="I48" s="6">
        <v>21248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5477</v>
      </c>
      <c r="H49" s="6">
        <v>658</v>
      </c>
      <c r="I49" s="6">
        <v>3660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37712</v>
      </c>
      <c r="H50" s="6">
        <v>1495</v>
      </c>
      <c r="I50" s="6">
        <v>16073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7132</v>
      </c>
      <c r="H51" s="6"/>
      <c r="I51" s="6">
        <v>4144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1120017</v>
      </c>
      <c r="H52" s="11">
        <f t="shared" ref="H52:I52" si="0">SUM(H15:H51)</f>
        <v>319115</v>
      </c>
      <c r="I52" s="11">
        <f t="shared" si="0"/>
        <v>520275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15" zoomScale="90" zoomScaleNormal="90" workbookViewId="0">
      <selection activeCell="I15" sqref="I15:I51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7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25022</v>
      </c>
      <c r="H15" s="6">
        <v>4739</v>
      </c>
      <c r="I15" s="6">
        <v>48716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17518</v>
      </c>
      <c r="H16" s="6">
        <f>2328+3169</f>
        <v>5497</v>
      </c>
      <c r="I16" s="6">
        <v>9197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1813</v>
      </c>
      <c r="H17" s="6"/>
      <c r="I17" s="6">
        <v>585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63695</v>
      </c>
      <c r="H18" s="6">
        <v>6492</v>
      </c>
      <c r="I18" s="6">
        <v>7746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9727</v>
      </c>
      <c r="H19" s="6">
        <v>143</v>
      </c>
      <c r="I19" s="6">
        <v>3991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43818</v>
      </c>
      <c r="H20" s="6">
        <f>15761+16196</f>
        <v>31957</v>
      </c>
      <c r="I20" s="6">
        <v>25169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9912</v>
      </c>
      <c r="H21" s="6">
        <v>10378</v>
      </c>
      <c r="I21" s="6">
        <v>6021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5299</v>
      </c>
      <c r="H22" s="6">
        <v>3338</v>
      </c>
      <c r="I22" s="6">
        <v>4109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4634</v>
      </c>
      <c r="H23" s="6">
        <v>410</v>
      </c>
      <c r="I23" s="6">
        <v>5314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2519</v>
      </c>
      <c r="H24" s="6">
        <v>1332</v>
      </c>
      <c r="I24" s="6">
        <v>2122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12585</v>
      </c>
      <c r="H25" s="6"/>
      <c r="I25" s="6">
        <v>5085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71262</v>
      </c>
      <c r="H26" s="6">
        <f>14491+3275</f>
        <v>17766</v>
      </c>
      <c r="I26" s="6">
        <v>20876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7548</v>
      </c>
      <c r="H27" s="6">
        <v>2315</v>
      </c>
      <c r="I27" s="6">
        <v>5237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68530</v>
      </c>
      <c r="H28" s="6">
        <v>4513</v>
      </c>
      <c r="I28" s="6">
        <v>15593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5292</v>
      </c>
      <c r="H29" s="6">
        <v>110</v>
      </c>
      <c r="I29" s="6">
        <v>1346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56457</v>
      </c>
      <c r="H30" s="6">
        <f>1485+51152</f>
        <v>52637</v>
      </c>
      <c r="I30" s="6">
        <v>13277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13280</v>
      </c>
      <c r="H31" s="6"/>
      <c r="I31" s="6">
        <v>1096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27661</v>
      </c>
      <c r="H32" s="6">
        <f>565+19277</f>
        <v>19842</v>
      </c>
      <c r="I32" s="6">
        <v>7643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10108</v>
      </c>
      <c r="H33" s="6">
        <v>805</v>
      </c>
      <c r="I33" s="6">
        <v>5129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751</v>
      </c>
      <c r="H34" s="6"/>
      <c r="I34" s="6">
        <v>132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65702</v>
      </c>
      <c r="H35" s="6">
        <v>31683</v>
      </c>
      <c r="I35" s="6">
        <v>14260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98330</v>
      </c>
      <c r="H36" s="6">
        <f>836+23800</f>
        <v>24636</v>
      </c>
      <c r="I36" s="6">
        <v>34087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70664</v>
      </c>
      <c r="H37" s="6">
        <v>13601</v>
      </c>
      <c r="I37" s="6">
        <v>77271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37578</v>
      </c>
      <c r="H38" s="6">
        <f>3549+21125</f>
        <v>24674</v>
      </c>
      <c r="I38" s="6">
        <v>23783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82756</v>
      </c>
      <c r="H39" s="6">
        <f>15870+6441</f>
        <v>22311</v>
      </c>
      <c r="I39" s="6">
        <v>26736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1088</v>
      </c>
      <c r="H40" s="6"/>
      <c r="I40" s="6">
        <v>186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9322</v>
      </c>
      <c r="H41" s="6">
        <v>1310</v>
      </c>
      <c r="I41" s="6">
        <v>3217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6836</v>
      </c>
      <c r="H42" s="6">
        <v>2831</v>
      </c>
      <c r="I42" s="6">
        <v>1846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5672</v>
      </c>
      <c r="H43" s="6">
        <v>50</v>
      </c>
      <c r="I43" s="6">
        <v>2226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34945</v>
      </c>
      <c r="H44" s="6">
        <f>3637+228</f>
        <v>3865</v>
      </c>
      <c r="I44" s="6">
        <v>15707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1114</v>
      </c>
      <c r="H45" s="6"/>
      <c r="I45" s="6">
        <v>501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53501</v>
      </c>
      <c r="H46" s="6">
        <f>5287+2406</f>
        <v>7693</v>
      </c>
      <c r="I46" s="6">
        <v>13910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16800</v>
      </c>
      <c r="H47" s="6">
        <f>875-94</f>
        <v>781</v>
      </c>
      <c r="I47" s="6">
        <v>13629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96691</v>
      </c>
      <c r="H48" s="6">
        <f>10165+5709</f>
        <v>15874</v>
      </c>
      <c r="I48" s="6">
        <v>20160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6461</v>
      </c>
      <c r="H49" s="6">
        <v>241</v>
      </c>
      <c r="I49" s="6">
        <v>3514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24430</v>
      </c>
      <c r="H50" s="6">
        <v>1539</v>
      </c>
      <c r="I50" s="6">
        <v>14050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5588</v>
      </c>
      <c r="H51" s="6"/>
      <c r="I51" s="6">
        <v>3817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1074909</v>
      </c>
      <c r="H52" s="11">
        <f t="shared" ref="H52:I52" si="0">SUM(H15:H51)</f>
        <v>313363</v>
      </c>
      <c r="I52" s="11">
        <f t="shared" si="0"/>
        <v>457284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15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6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22771</v>
      </c>
      <c r="H15" s="6">
        <v>4309</v>
      </c>
      <c r="I15" s="6">
        <f>49869-H15</f>
        <v>45560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10607</v>
      </c>
      <c r="H16" s="6">
        <f>1925+2708</f>
        <v>4633</v>
      </c>
      <c r="I16" s="6">
        <f>12726-H16</f>
        <v>8093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2116</v>
      </c>
      <c r="H17" s="6"/>
      <c r="I17" s="6">
        <v>509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63761</v>
      </c>
      <c r="H18" s="6">
        <v>5503</v>
      </c>
      <c r="I18" s="6">
        <f>13532-H18</f>
        <v>8029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10404</v>
      </c>
      <c r="H19" s="6">
        <v>238</v>
      </c>
      <c r="I19" s="6">
        <f>4002-H19</f>
        <v>3764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44786</v>
      </c>
      <c r="H20" s="6">
        <f>14337+18904</f>
        <v>33241</v>
      </c>
      <c r="I20" s="6">
        <f>58101-H20</f>
        <v>24860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10750</v>
      </c>
      <c r="H21" s="6">
        <v>9238</v>
      </c>
      <c r="I21" s="6">
        <v>5367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4253</v>
      </c>
      <c r="H22" s="6">
        <v>2238</v>
      </c>
      <c r="I22" s="6">
        <f>5321-H22</f>
        <v>3083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5097</v>
      </c>
      <c r="H23" s="6">
        <v>430</v>
      </c>
      <c r="I23" s="6">
        <v>5011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2579</v>
      </c>
      <c r="H24" s="6">
        <v>1150</v>
      </c>
      <c r="I24" s="6">
        <f>2860-H24</f>
        <v>1710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12660</v>
      </c>
      <c r="H25" s="6"/>
      <c r="I25" s="6">
        <v>4010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71843</v>
      </c>
      <c r="H26" s="6">
        <f>10639+3672</f>
        <v>14311</v>
      </c>
      <c r="I26" s="6">
        <f>37949-H26-I25</f>
        <v>19628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12902</v>
      </c>
      <c r="H27" s="6">
        <v>2166</v>
      </c>
      <c r="I27" s="6">
        <f>7879-H27</f>
        <v>5713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77153</v>
      </c>
      <c r="H28" s="6">
        <v>7857</v>
      </c>
      <c r="I28" s="6">
        <f>25063-H28</f>
        <v>17206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4550</v>
      </c>
      <c r="H29" s="6">
        <v>146</v>
      </c>
      <c r="I29" s="6">
        <f>1193-H29</f>
        <v>1047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66954</v>
      </c>
      <c r="H30" s="6">
        <f>1625+51860</f>
        <v>53485</v>
      </c>
      <c r="I30" s="6">
        <f>66141-H30</f>
        <v>12656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11289</v>
      </c>
      <c r="H31" s="6"/>
      <c r="I31" s="6">
        <v>976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27139</v>
      </c>
      <c r="H32" s="6">
        <f>583+18533</f>
        <v>19116</v>
      </c>
      <c r="I32" s="6">
        <f>25850-H32</f>
        <v>6734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9667</v>
      </c>
      <c r="H33" s="6">
        <v>321</v>
      </c>
      <c r="I33" s="6">
        <f>4398-H33</f>
        <v>4077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841</v>
      </c>
      <c r="H34" s="6"/>
      <c r="I34" s="6">
        <v>61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71369</v>
      </c>
      <c r="H35" s="6">
        <v>29612</v>
      </c>
      <c r="I35" s="6">
        <f>42175-H35</f>
        <v>12563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84984</v>
      </c>
      <c r="H36" s="6">
        <f>23759+5278</f>
        <v>29037</v>
      </c>
      <c r="I36" s="6">
        <f>58282-H36</f>
        <v>29245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75233</v>
      </c>
      <c r="H37" s="6">
        <v>16180</v>
      </c>
      <c r="I37" s="6">
        <v>70408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35448</v>
      </c>
      <c r="H38" s="6">
        <f>3512+20508</f>
        <v>24020</v>
      </c>
      <c r="I38" s="6">
        <f>43080-H38</f>
        <v>19060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92609</v>
      </c>
      <c r="H39" s="6">
        <f>17263+4277</f>
        <v>21540</v>
      </c>
      <c r="I39" s="6">
        <f>47446-H39</f>
        <v>25906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858</v>
      </c>
      <c r="H40" s="6"/>
      <c r="I40" s="6">
        <v>135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9568</v>
      </c>
      <c r="H41" s="6">
        <v>1114</v>
      </c>
      <c r="I41" s="6">
        <f>3878-H41</f>
        <v>2764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6429</v>
      </c>
      <c r="H42" s="6">
        <v>2972</v>
      </c>
      <c r="I42" s="6">
        <f>4216-H42</f>
        <v>1244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7023</v>
      </c>
      <c r="H43" s="6">
        <v>68</v>
      </c>
      <c r="I43" s="6">
        <f>2016-H43</f>
        <v>1948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42417</v>
      </c>
      <c r="H44" s="6">
        <f>4481+285</f>
        <v>4766</v>
      </c>
      <c r="I44" s="6">
        <f>20318-H44</f>
        <v>15552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1275</v>
      </c>
      <c r="H45" s="6"/>
      <c r="I45" s="6">
        <v>354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47232</v>
      </c>
      <c r="H46" s="6">
        <f>5576+2536</f>
        <v>8112</v>
      </c>
      <c r="I46" s="6">
        <f>20609-H46</f>
        <v>12497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19488</v>
      </c>
      <c r="H47" s="6">
        <v>1046</v>
      </c>
      <c r="I47" s="6">
        <f>13555-H47</f>
        <v>12509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84227</v>
      </c>
      <c r="H48" s="6">
        <f>9333+6722</f>
        <v>16055</v>
      </c>
      <c r="I48" s="6">
        <f>35701-H48</f>
        <v>19646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6290</v>
      </c>
      <c r="H49" s="6">
        <v>1415</v>
      </c>
      <c r="I49" s="6">
        <f>4601-H49</f>
        <v>3186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23214</v>
      </c>
      <c r="H50" s="6">
        <v>1214</v>
      </c>
      <c r="I50" s="6">
        <f>15506-H50</f>
        <v>14292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5431</v>
      </c>
      <c r="H51" s="6"/>
      <c r="I51" s="6">
        <v>3435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1085217</v>
      </c>
      <c r="H52" s="11">
        <f t="shared" ref="H52:I52" si="0">SUM(H15:H51)</f>
        <v>315533</v>
      </c>
      <c r="I52" s="11">
        <f t="shared" si="0"/>
        <v>422838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19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8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21882</v>
      </c>
      <c r="H15" s="6">
        <v>4803</v>
      </c>
      <c r="I15" s="6">
        <v>40305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16764</v>
      </c>
      <c r="H16" s="6">
        <f>2075+2705</f>
        <v>4780</v>
      </c>
      <c r="I16" s="6">
        <v>7691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1946</v>
      </c>
      <c r="H17" s="6"/>
      <c r="I17" s="6">
        <v>379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50188</v>
      </c>
      <c r="H18" s="6">
        <v>2373</v>
      </c>
      <c r="I18" s="6">
        <v>5798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7349</v>
      </c>
      <c r="H19" s="6">
        <v>267</v>
      </c>
      <c r="I19" s="6">
        <v>1923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43758</v>
      </c>
      <c r="H20" s="6">
        <f>14999+9641</f>
        <v>24640</v>
      </c>
      <c r="I20" s="6">
        <v>21100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8278</v>
      </c>
      <c r="H21" s="6">
        <f>8369+681</f>
        <v>9050</v>
      </c>
      <c r="I21" s="6">
        <v>4016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4130</v>
      </c>
      <c r="H22" s="6"/>
      <c r="I22" s="6">
        <v>1943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4970</v>
      </c>
      <c r="H23" s="6">
        <f>190+295</f>
        <v>485</v>
      </c>
      <c r="I23" s="6">
        <v>3289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2333</v>
      </c>
      <c r="H24" s="6">
        <v>767</v>
      </c>
      <c r="I24" s="6">
        <v>636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8635</v>
      </c>
      <c r="H25" s="6"/>
      <c r="I25" s="6">
        <v>3495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52833</v>
      </c>
      <c r="H26" s="6">
        <f>2568+10509</f>
        <v>13077</v>
      </c>
      <c r="I26" s="6">
        <v>11985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5917</v>
      </c>
      <c r="H27" s="6">
        <v>906</v>
      </c>
      <c r="I27" s="6">
        <v>3063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55943</v>
      </c>
      <c r="H28" s="6">
        <v>5649</v>
      </c>
      <c r="I28" s="6">
        <v>9500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4559</v>
      </c>
      <c r="H29" s="6">
        <v>152</v>
      </c>
      <c r="I29" s="6">
        <v>332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53486</v>
      </c>
      <c r="H30" s="6">
        <f>50080+1595</f>
        <v>51675</v>
      </c>
      <c r="I30" s="6">
        <v>11679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8926</v>
      </c>
      <c r="H31" s="6"/>
      <c r="I31" s="6">
        <v>390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23146</v>
      </c>
      <c r="H32" s="6">
        <f>19504+682</f>
        <v>20186</v>
      </c>
      <c r="I32" s="6">
        <v>4782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7930</v>
      </c>
      <c r="H33" s="6">
        <v>119</v>
      </c>
      <c r="I33" s="6">
        <v>1911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729</v>
      </c>
      <c r="H34" s="6"/>
      <c r="I34" s="6">
        <v>17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43320</v>
      </c>
      <c r="H35" s="6">
        <v>21652</v>
      </c>
      <c r="I35" s="6">
        <v>9185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94322</v>
      </c>
      <c r="H36" s="6">
        <f>508+20911</f>
        <v>21419</v>
      </c>
      <c r="I36" s="6">
        <v>28062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71360</v>
      </c>
      <c r="H37" s="6">
        <f>3020+14012</f>
        <v>17032</v>
      </c>
      <c r="I37" s="6">
        <v>56605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35067</v>
      </c>
      <c r="H38" s="6">
        <f>19569+3790</f>
        <v>23359</v>
      </c>
      <c r="I38" s="6">
        <v>15970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88335</v>
      </c>
      <c r="H39" s="6">
        <f>2500+14442</f>
        <v>16942</v>
      </c>
      <c r="I39" s="6">
        <v>20944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1176</v>
      </c>
      <c r="H40" s="6"/>
      <c r="I40" s="6">
        <v>29</v>
      </c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9218</v>
      </c>
      <c r="H41" s="6">
        <v>717</v>
      </c>
      <c r="I41" s="6">
        <v>2414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4791</v>
      </c>
      <c r="H42" s="6">
        <v>2273</v>
      </c>
      <c r="I42" s="6">
        <v>1108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6380</v>
      </c>
      <c r="H43" s="6">
        <v>72</v>
      </c>
      <c r="I43" s="6">
        <v>660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30328</v>
      </c>
      <c r="H44" s="6">
        <f>230+4023</f>
        <v>4253</v>
      </c>
      <c r="I44" s="6">
        <v>12493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1113</v>
      </c>
      <c r="H45" s="6"/>
      <c r="I45" s="6">
        <v>153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57790</v>
      </c>
      <c r="H46" s="6">
        <f>2881+7951</f>
        <v>10832</v>
      </c>
      <c r="I46" s="6">
        <v>12264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16593</v>
      </c>
      <c r="H47" s="6">
        <v>1002</v>
      </c>
      <c r="I47" s="6">
        <v>11003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66171</v>
      </c>
      <c r="H48" s="6">
        <f>2096+8939</f>
        <v>11035</v>
      </c>
      <c r="I48" s="6">
        <v>14477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4949</v>
      </c>
      <c r="H49" s="6">
        <v>999</v>
      </c>
      <c r="I49" s="6">
        <v>1797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24446</v>
      </c>
      <c r="H50" s="6">
        <v>1058</v>
      </c>
      <c r="I50" s="6">
        <v>9443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6528</v>
      </c>
      <c r="H51" s="6"/>
      <c r="I51" s="6">
        <v>2777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945589</v>
      </c>
      <c r="H52" s="11">
        <f t="shared" ref="H52:I52" si="0">SUM(H15:H51)</f>
        <v>271574</v>
      </c>
      <c r="I52" s="11">
        <f t="shared" si="0"/>
        <v>333618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8"/>
  <sheetViews>
    <sheetView topLeftCell="A22" zoomScale="90" zoomScaleNormal="90" workbookViewId="0">
      <selection activeCell="H52" sqref="H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67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19993</v>
      </c>
      <c r="H15" s="6">
        <v>2484</v>
      </c>
      <c r="I15" s="6">
        <f>31192-H15</f>
        <v>28708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15741</v>
      </c>
      <c r="H16" s="6">
        <f>1350+1527</f>
        <v>2877</v>
      </c>
      <c r="I16" s="6">
        <f>7138-H16-1069</f>
        <v>3192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2397</v>
      </c>
      <c r="H17" s="6"/>
      <c r="I17" s="6">
        <v>143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36822</v>
      </c>
      <c r="H18" s="6">
        <v>2081</v>
      </c>
      <c r="I18" s="6">
        <f>6685-H18</f>
        <v>4604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6812</v>
      </c>
      <c r="H19" s="6">
        <v>173</v>
      </c>
      <c r="I19" s="6">
        <f>1537-H19</f>
        <v>1364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38399</v>
      </c>
      <c r="H20" s="6">
        <f>5852+12369</f>
        <v>18221</v>
      </c>
      <c r="I20" s="6">
        <f>34350-H20</f>
        <v>16129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11704</v>
      </c>
      <c r="H21" s="6">
        <v>7042</v>
      </c>
      <c r="I21" s="6">
        <v>2489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5071</v>
      </c>
      <c r="H22" s="6">
        <v>388</v>
      </c>
      <c r="I22" s="6">
        <f>1425-H22</f>
        <v>1037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6689</v>
      </c>
      <c r="H23" s="6">
        <v>626</v>
      </c>
      <c r="I23" s="6">
        <v>1544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1716</v>
      </c>
      <c r="H24" s="6">
        <v>341</v>
      </c>
      <c r="I24" s="6">
        <f>590-H24</f>
        <v>249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7995</v>
      </c>
      <c r="H25" s="6"/>
      <c r="I25" s="6">
        <v>1975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45893</v>
      </c>
      <c r="H26" s="6">
        <f>9474+1604</f>
        <v>11078</v>
      </c>
      <c r="I26" s="6">
        <v>11727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10966</v>
      </c>
      <c r="H27" s="6">
        <v>368</v>
      </c>
      <c r="I27" s="6">
        <f>2278-H27</f>
        <v>1910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44902</v>
      </c>
      <c r="H28" s="6">
        <v>5351</v>
      </c>
      <c r="I28" s="6">
        <f>14449-H28</f>
        <v>9098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3473</v>
      </c>
      <c r="H29" s="6">
        <v>148</v>
      </c>
      <c r="I29" s="6">
        <f>402-H29</f>
        <v>254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59528</v>
      </c>
      <c r="H30" s="6">
        <f>1777+44903</f>
        <v>46680</v>
      </c>
      <c r="I30" s="6">
        <f>53591-H30</f>
        <v>6911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7024</v>
      </c>
      <c r="H31" s="6"/>
      <c r="I31" s="6">
        <v>484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22645</v>
      </c>
      <c r="H32" s="6">
        <f>599+11412</f>
        <v>12011</v>
      </c>
      <c r="I32" s="6">
        <f>14480-H32</f>
        <v>2469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9112</v>
      </c>
      <c r="H33" s="6">
        <v>561</v>
      </c>
      <c r="I33" s="6">
        <f>1395-H33</f>
        <v>834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833</v>
      </c>
      <c r="H34" s="6"/>
      <c r="I34" s="6">
        <v>18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48531</v>
      </c>
      <c r="H35" s="6">
        <v>21583</v>
      </c>
      <c r="I35" s="6">
        <f>30914-H35</f>
        <v>9331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80001</v>
      </c>
      <c r="H36" s="6">
        <f>13741+967</f>
        <v>14708</v>
      </c>
      <c r="I36" s="6">
        <f>30469-H36</f>
        <v>15761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60939</v>
      </c>
      <c r="H37" s="6">
        <v>15930</v>
      </c>
      <c r="I37" s="6">
        <v>37161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30530</v>
      </c>
      <c r="H38" s="6">
        <f>4135+16383</f>
        <v>20518</v>
      </c>
      <c r="I38" s="6">
        <f>28891-H38</f>
        <v>8373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71055</v>
      </c>
      <c r="H39" s="6">
        <f>14052+1572</f>
        <v>15624</v>
      </c>
      <c r="I39" s="6">
        <f>32090-H39</f>
        <v>16466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2263</v>
      </c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7889</v>
      </c>
      <c r="H41" s="6">
        <v>128</v>
      </c>
      <c r="I41" s="6">
        <f>1069-H41</f>
        <v>941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4414</v>
      </c>
      <c r="H42" s="6">
        <v>1587</v>
      </c>
      <c r="I42" s="6">
        <f>2286-H42</f>
        <v>699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7127</v>
      </c>
      <c r="H43" s="6">
        <v>80</v>
      </c>
      <c r="I43" s="6">
        <f>154-H43</f>
        <v>74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26896</v>
      </c>
      <c r="H44" s="6">
        <f>3352+273</f>
        <v>3625</v>
      </c>
      <c r="I44" s="6">
        <f>14337-H44</f>
        <v>10712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1645</v>
      </c>
      <c r="H45" s="6"/>
      <c r="I45" s="6">
        <v>12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37661</v>
      </c>
      <c r="H46" s="6">
        <f>6308+4222</f>
        <v>10530</v>
      </c>
      <c r="I46" s="6">
        <f>22522-H46</f>
        <v>11992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14630</v>
      </c>
      <c r="H47" s="6">
        <v>988</v>
      </c>
      <c r="I47" s="6">
        <f>6634-H47</f>
        <v>5646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53192</v>
      </c>
      <c r="H48" s="6">
        <f>9456+531</f>
        <v>9987</v>
      </c>
      <c r="I48" s="6">
        <f>21862-H48</f>
        <v>11875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6224</v>
      </c>
      <c r="H49" s="6">
        <v>728</v>
      </c>
      <c r="I49" s="6">
        <f>1521-H49</f>
        <v>793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21473</v>
      </c>
      <c r="H50" s="6">
        <v>1200</v>
      </c>
      <c r="I50" s="6">
        <f>7530-H50</f>
        <v>6330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7027</v>
      </c>
      <c r="H51" s="6"/>
      <c r="I51" s="6">
        <v>1320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839212</v>
      </c>
      <c r="H52" s="11">
        <f t="shared" ref="H52:I52" si="0">SUM(H15:H51)</f>
        <v>227646</v>
      </c>
      <c r="I52" s="11">
        <f t="shared" si="0"/>
        <v>232625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topLeftCell="A29" zoomScale="90" zoomScaleNormal="90" workbookViewId="0">
      <selection activeCell="I52" sqref="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1" width="30.5703125" style="1" customWidth="1"/>
    <col min="12" max="12" width="10.42578125" style="1" customWidth="1"/>
    <col min="13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68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18082</v>
      </c>
      <c r="H15" s="6">
        <v>2015</v>
      </c>
      <c r="I15" s="6">
        <v>23651</v>
      </c>
      <c r="J15" s="7"/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12008</v>
      </c>
      <c r="H16" s="6">
        <f>850+894</f>
        <v>1744</v>
      </c>
      <c r="I16" s="6">
        <v>3552</v>
      </c>
      <c r="J16" s="7"/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2138</v>
      </c>
      <c r="H17" s="6"/>
      <c r="I17" s="6">
        <v>144</v>
      </c>
      <c r="J17" s="7"/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28490</v>
      </c>
      <c r="H18" s="6">
        <v>993</v>
      </c>
      <c r="I18" s="6">
        <v>2831</v>
      </c>
      <c r="J18" s="7"/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8360</v>
      </c>
      <c r="H19" s="6">
        <v>358</v>
      </c>
      <c r="I19" s="6">
        <v>1288</v>
      </c>
      <c r="J19" s="7"/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36863</v>
      </c>
      <c r="H20" s="6">
        <f>6196+13743</f>
        <v>19939</v>
      </c>
      <c r="I20" s="6">
        <v>12762</v>
      </c>
      <c r="J20" s="7"/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10758</v>
      </c>
      <c r="H21" s="6">
        <v>5908</v>
      </c>
      <c r="I21" s="6">
        <v>2338</v>
      </c>
      <c r="J21" s="7"/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6103</v>
      </c>
      <c r="H22" s="6"/>
      <c r="I22" s="6">
        <v>790</v>
      </c>
      <c r="J22" s="7"/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6993</v>
      </c>
      <c r="H23" s="6">
        <v>507</v>
      </c>
      <c r="I23" s="6">
        <v>1265</v>
      </c>
      <c r="J23" s="7"/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3109</v>
      </c>
      <c r="H24" s="6">
        <v>330</v>
      </c>
      <c r="I24" s="6">
        <v>206</v>
      </c>
      <c r="J24" s="7"/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7430</v>
      </c>
      <c r="H25" s="6"/>
      <c r="I25" s="6">
        <v>2490</v>
      </c>
      <c r="J25" s="7"/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48848</v>
      </c>
      <c r="H26" s="6">
        <f>9909+1564</f>
        <v>11473</v>
      </c>
      <c r="I26" s="6">
        <v>8297</v>
      </c>
      <c r="J26" s="7"/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11670</v>
      </c>
      <c r="H27" s="6">
        <v>287</v>
      </c>
      <c r="I27" s="6">
        <v>1753</v>
      </c>
      <c r="J27" s="7"/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42863</v>
      </c>
      <c r="H28" s="6">
        <v>6387</v>
      </c>
      <c r="I28" s="6">
        <v>6107</v>
      </c>
      <c r="J28" s="7"/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3732</v>
      </c>
      <c r="H29" s="6">
        <v>170</v>
      </c>
      <c r="I29" s="6">
        <v>234</v>
      </c>
      <c r="J29" s="7"/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50292</v>
      </c>
      <c r="H30" s="6">
        <f>1423+34675</f>
        <v>36098</v>
      </c>
      <c r="I30" s="6">
        <v>5418</v>
      </c>
      <c r="J30" s="7"/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6669</v>
      </c>
      <c r="H31" s="6"/>
      <c r="I31" s="6">
        <v>879</v>
      </c>
      <c r="J31" s="7"/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20428</v>
      </c>
      <c r="H32" s="6">
        <f>577+6425</f>
        <v>7002</v>
      </c>
      <c r="I32" s="6">
        <v>1641</v>
      </c>
      <c r="J32" s="7"/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9795</v>
      </c>
      <c r="H33" s="6">
        <v>464</v>
      </c>
      <c r="I33" s="6">
        <v>1053</v>
      </c>
      <c r="J33" s="7"/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813</v>
      </c>
      <c r="H34" s="6"/>
      <c r="I34" s="6">
        <v>17</v>
      </c>
      <c r="J34" s="7"/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37999</v>
      </c>
      <c r="H35" s="6">
        <v>15814</v>
      </c>
      <c r="I35" s="6">
        <v>4356</v>
      </c>
      <c r="J35" s="7"/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78034</v>
      </c>
      <c r="H36" s="6">
        <f>895+13888-36</f>
        <v>14747</v>
      </c>
      <c r="I36" s="6">
        <v>17382</v>
      </c>
      <c r="J36" s="7"/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49250</v>
      </c>
      <c r="H37" s="6">
        <v>15737</v>
      </c>
      <c r="I37" s="6">
        <v>28589</v>
      </c>
      <c r="J37" s="7"/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26788</v>
      </c>
      <c r="H38" s="6">
        <f>4103+13011</f>
        <v>17114</v>
      </c>
      <c r="I38" s="6">
        <v>5509</v>
      </c>
      <c r="J38" s="7"/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65327</v>
      </c>
      <c r="H39" s="6">
        <f>11977+1220</f>
        <v>13197</v>
      </c>
      <c r="I39" s="6">
        <v>5019</v>
      </c>
      <c r="J39" s="7"/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2225</v>
      </c>
      <c r="H40" s="6"/>
      <c r="I40" s="6"/>
      <c r="J40" s="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7232</v>
      </c>
      <c r="H41" s="6">
        <v>138</v>
      </c>
      <c r="I41" s="6">
        <f>659-H41</f>
        <v>521</v>
      </c>
      <c r="J41" s="7"/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4317</v>
      </c>
      <c r="H42" s="6">
        <f>1392</f>
        <v>1392</v>
      </c>
      <c r="I42" s="6">
        <f>1889-H42</f>
        <v>497</v>
      </c>
      <c r="J42" s="7"/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6931</v>
      </c>
      <c r="H43" s="6">
        <v>82</v>
      </c>
      <c r="I43" s="6">
        <f>373-H43</f>
        <v>291</v>
      </c>
      <c r="J43" s="7"/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20689</v>
      </c>
      <c r="H44" s="6">
        <f>3296+278</f>
        <v>3574</v>
      </c>
      <c r="I44" s="6">
        <f>9246-H44</f>
        <v>5672</v>
      </c>
      <c r="J44" s="7"/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2056</v>
      </c>
      <c r="H45" s="6"/>
      <c r="I45" s="6">
        <v>16</v>
      </c>
      <c r="J45" s="7"/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36736</v>
      </c>
      <c r="H46" s="6">
        <f>4990+3876</f>
        <v>8866</v>
      </c>
      <c r="I46" s="6">
        <f>16132-H46</f>
        <v>7266</v>
      </c>
      <c r="J46" s="7"/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15274</v>
      </c>
      <c r="H47" s="6">
        <v>1066</v>
      </c>
      <c r="I47" s="6">
        <f>6242-H47</f>
        <v>5176</v>
      </c>
      <c r="J47" s="7"/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56197</v>
      </c>
      <c r="H48" s="6">
        <f>8328+15</f>
        <v>8343</v>
      </c>
      <c r="I48" s="6">
        <f>19220-H48</f>
        <v>10877</v>
      </c>
      <c r="J48" s="7"/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4991</v>
      </c>
      <c r="H49" s="6">
        <v>520</v>
      </c>
      <c r="I49" s="6">
        <f>1273-H49</f>
        <v>753</v>
      </c>
      <c r="J49" s="7"/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20444</v>
      </c>
      <c r="H50" s="6">
        <v>1905</v>
      </c>
      <c r="I50" s="6">
        <f>6430-H50</f>
        <v>4525</v>
      </c>
      <c r="J50" s="7"/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7003</v>
      </c>
      <c r="H51" s="6"/>
      <c r="I51" s="6">
        <v>1452</v>
      </c>
      <c r="J51" s="7"/>
      <c r="K51" s="16"/>
      <c r="L51" s="17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776937</v>
      </c>
      <c r="H52" s="11">
        <f>SUM(H15:H51)</f>
        <v>196170</v>
      </c>
      <c r="I52" s="11">
        <f t="shared" ref="I52" si="0">SUM(I15:I51)</f>
        <v>174617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topLeftCell="A15" zoomScale="90" zoomScaleNormal="90" workbookViewId="0">
      <selection activeCell="I40" sqref="I40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20" t="s">
        <v>39</v>
      </c>
      <c r="I1" s="20"/>
    </row>
    <row r="2" spans="1:13" x14ac:dyDescent="0.2">
      <c r="H2" s="20" t="s">
        <v>26</v>
      </c>
      <c r="I2" s="20"/>
    </row>
    <row r="3" spans="1:13" x14ac:dyDescent="0.2">
      <c r="H3" s="20" t="s">
        <v>27</v>
      </c>
      <c r="I3" s="20"/>
    </row>
    <row r="4" spans="1:13" x14ac:dyDescent="0.2">
      <c r="H4" s="20" t="s">
        <v>28</v>
      </c>
      <c r="I4" s="20"/>
    </row>
    <row r="5" spans="1:13" x14ac:dyDescent="0.2">
      <c r="H5" s="20" t="s">
        <v>29</v>
      </c>
      <c r="I5" s="20"/>
    </row>
    <row r="6" spans="1:13" x14ac:dyDescent="0.2">
      <c r="H6" s="20" t="s">
        <v>30</v>
      </c>
      <c r="I6" s="20"/>
    </row>
    <row r="7" spans="1:13" x14ac:dyDescent="0.2">
      <c r="H7" s="20" t="s">
        <v>3</v>
      </c>
      <c r="I7" s="20"/>
    </row>
    <row r="9" spans="1:13" ht="12.75" customHeight="1" x14ac:dyDescent="0.2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"/>
    </row>
    <row r="10" spans="1:13" ht="30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"/>
    </row>
    <row r="12" spans="1:13" x14ac:dyDescent="0.2">
      <c r="A12" s="23" t="s">
        <v>0</v>
      </c>
      <c r="B12" s="26" t="s">
        <v>1</v>
      </c>
      <c r="C12" s="27" t="s">
        <v>2</v>
      </c>
      <c r="D12" s="26" t="s">
        <v>9</v>
      </c>
      <c r="E12" s="26"/>
      <c r="F12" s="26"/>
      <c r="G12" s="26"/>
      <c r="H12" s="26"/>
      <c r="I12" s="26"/>
    </row>
    <row r="13" spans="1:13" x14ac:dyDescent="0.2">
      <c r="A13" s="24"/>
      <c r="B13" s="26"/>
      <c r="C13" s="28"/>
      <c r="D13" s="3" t="s">
        <v>32</v>
      </c>
      <c r="E13" s="3" t="s">
        <v>33</v>
      </c>
      <c r="F13" s="3" t="s">
        <v>34</v>
      </c>
      <c r="G13" s="26" t="s">
        <v>35</v>
      </c>
      <c r="H13" s="26"/>
      <c r="I13" s="26"/>
    </row>
    <row r="14" spans="1:13" ht="28.5" customHeight="1" x14ac:dyDescent="0.2">
      <c r="A14" s="25"/>
      <c r="B14" s="26"/>
      <c r="C14" s="29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18353</v>
      </c>
      <c r="H15" s="6">
        <v>2173</v>
      </c>
      <c r="I15" s="6">
        <v>27069</v>
      </c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9489</v>
      </c>
      <c r="H16" s="6">
        <v>1297</v>
      </c>
      <c r="I16" s="6">
        <v>3102</v>
      </c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2712</v>
      </c>
      <c r="H17" s="6"/>
      <c r="I17" s="6">
        <v>104</v>
      </c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25901</v>
      </c>
      <c r="H18" s="6">
        <v>1664</v>
      </c>
      <c r="I18" s="6">
        <v>2369</v>
      </c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6090</v>
      </c>
      <c r="H19" s="6">
        <v>222</v>
      </c>
      <c r="I19" s="6">
        <v>693</v>
      </c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35001</v>
      </c>
      <c r="H20" s="6">
        <v>13912</v>
      </c>
      <c r="I20" s="6">
        <v>9087</v>
      </c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10923</v>
      </c>
      <c r="H21" s="6">
        <v>5249</v>
      </c>
      <c r="I21" s="6">
        <v>732</v>
      </c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5065</v>
      </c>
      <c r="H22" s="6"/>
      <c r="I22" s="6">
        <v>703</v>
      </c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8071</v>
      </c>
      <c r="H23" s="6">
        <v>563</v>
      </c>
      <c r="I23" s="6">
        <v>833</v>
      </c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3814</v>
      </c>
      <c r="H24" s="6">
        <v>146</v>
      </c>
      <c r="I24" s="6">
        <v>412</v>
      </c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8070</v>
      </c>
      <c r="H25" s="6"/>
      <c r="I25" s="6">
        <v>1025</v>
      </c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44470</v>
      </c>
      <c r="H26" s="6">
        <v>10639</v>
      </c>
      <c r="I26" s="6">
        <v>5671</v>
      </c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11076</v>
      </c>
      <c r="H27" s="6">
        <v>425</v>
      </c>
      <c r="I27" s="6">
        <v>1369</v>
      </c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30735</v>
      </c>
      <c r="H28" s="6">
        <v>5011</v>
      </c>
      <c r="I28" s="6">
        <v>3844</v>
      </c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3548</v>
      </c>
      <c r="H29" s="6">
        <v>172</v>
      </c>
      <c r="I29" s="6">
        <v>231</v>
      </c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55309</v>
      </c>
      <c r="H30" s="6">
        <v>44928</v>
      </c>
      <c r="I30" s="6">
        <v>5343</v>
      </c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5731</v>
      </c>
      <c r="H31" s="6"/>
      <c r="I31" s="6">
        <v>499</v>
      </c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19654</v>
      </c>
      <c r="H32" s="6">
        <v>10210</v>
      </c>
      <c r="I32" s="6">
        <v>2423</v>
      </c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9476</v>
      </c>
      <c r="H33" s="6">
        <v>281</v>
      </c>
      <c r="I33" s="6">
        <v>1085</v>
      </c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971</v>
      </c>
      <c r="H34" s="6"/>
      <c r="I34" s="6">
        <v>19</v>
      </c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49394</v>
      </c>
      <c r="H35" s="6">
        <v>12658</v>
      </c>
      <c r="I35" s="6">
        <v>5857</v>
      </c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74748</v>
      </c>
      <c r="H36" s="6">
        <v>15777</v>
      </c>
      <c r="I36" s="6">
        <v>7891</v>
      </c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54561</v>
      </c>
      <c r="H37" s="6">
        <v>22462</v>
      </c>
      <c r="I37" s="6">
        <v>26961</v>
      </c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25251</v>
      </c>
      <c r="H38" s="6">
        <v>14896</v>
      </c>
      <c r="I38" s="6">
        <v>3924</v>
      </c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75370</v>
      </c>
      <c r="H39" s="6">
        <v>13979</v>
      </c>
      <c r="I39" s="6">
        <v>5704</v>
      </c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3132</v>
      </c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6830</v>
      </c>
      <c r="H41" s="6">
        <v>66</v>
      </c>
      <c r="I41" s="6">
        <v>324</v>
      </c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7158</v>
      </c>
      <c r="H42" s="6">
        <v>1226</v>
      </c>
      <c r="I42" s="6">
        <v>575</v>
      </c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7231</v>
      </c>
      <c r="H43" s="6">
        <v>86</v>
      </c>
      <c r="I43" s="6">
        <v>306</v>
      </c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30918</v>
      </c>
      <c r="H44" s="6">
        <v>10661</v>
      </c>
      <c r="I44" s="6">
        <v>6098</v>
      </c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1667</v>
      </c>
      <c r="H45" s="6"/>
      <c r="I45" s="6">
        <v>14</v>
      </c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36931</v>
      </c>
      <c r="H46" s="6">
        <v>10943</v>
      </c>
      <c r="I46" s="6">
        <v>7480</v>
      </c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16029</v>
      </c>
      <c r="H47" s="6">
        <v>1008</v>
      </c>
      <c r="I47" s="6">
        <v>4019</v>
      </c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49943</v>
      </c>
      <c r="H48" s="6">
        <v>5916</v>
      </c>
      <c r="I48" s="6">
        <v>8397</v>
      </c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6444</v>
      </c>
      <c r="H49" s="6">
        <v>751</v>
      </c>
      <c r="I49" s="6">
        <v>372</v>
      </c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19276</v>
      </c>
      <c r="H50" s="6">
        <v>1604</v>
      </c>
      <c r="I50" s="6">
        <v>2640</v>
      </c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7127</v>
      </c>
      <c r="H51" s="6"/>
      <c r="I51" s="6">
        <v>513</v>
      </c>
      <c r="J51" s="7"/>
      <c r="K51" s="8"/>
      <c r="L51" s="8"/>
      <c r="M51" s="8"/>
    </row>
    <row r="52" spans="1:13" ht="13.5" customHeight="1" x14ac:dyDescent="0.2">
      <c r="A52" s="21" t="s">
        <v>4</v>
      </c>
      <c r="B52" s="21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786469</v>
      </c>
      <c r="H52" s="11">
        <f>SUM(H15:H51)</f>
        <v>208925</v>
      </c>
      <c r="I52" s="11">
        <f>SUM(I15:I51)</f>
        <v>147688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2024-03-20T10:12:06Z</dcterms:modified>
</cp:coreProperties>
</file>